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0" activeTab="0"/>
  </bookViews>
  <sheets>
    <sheet name="испол-е" sheetId="1" r:id="rId1"/>
  </sheets>
  <definedNames>
    <definedName name="_GoBack" localSheetId="0">'испол-е'!$T$90</definedName>
    <definedName name="_xlnm.Print_Titles" localSheetId="0">'испол-е'!$2:$4</definedName>
    <definedName name="_xlnm.Print_Area" localSheetId="0">'испол-е'!$A$1:$AB$97</definedName>
  </definedNames>
  <calcPr fullCalcOnLoad="1"/>
</workbook>
</file>

<file path=xl/sharedStrings.xml><?xml version="1.0" encoding="utf-8"?>
<sst xmlns="http://schemas.openxmlformats.org/spreadsheetml/2006/main" count="93" uniqueCount="87">
  <si>
    <t>1. Содержание органов местного самоуправления</t>
  </si>
  <si>
    <t>в том числе</t>
  </si>
  <si>
    <t>Земское Собрание района</t>
  </si>
  <si>
    <t>из них</t>
  </si>
  <si>
    <t>Проведение праздника труда</t>
  </si>
  <si>
    <t>Оценка недвижимости, оформление права собственности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</si>
  <si>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</si>
  <si>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</si>
  <si>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</si>
  <si>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</si>
  <si>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</si>
  <si>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</si>
  <si>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1. Детские дошкольные учреждения</t>
  </si>
  <si>
    <t>2. Школы</t>
  </si>
  <si>
    <t>Культура, кинематография и средства массовой информации</t>
  </si>
  <si>
    <t>1. Содержание учреждений культуры</t>
  </si>
  <si>
    <t>Социальная политика</t>
  </si>
  <si>
    <t>1. Муниципальная доплата к пенсии</t>
  </si>
  <si>
    <t>5. Другие вопросы в области социальной политики</t>
  </si>
  <si>
    <t>ВСЕГО РАСХОДОВ</t>
  </si>
  <si>
    <t>Наименование</t>
  </si>
  <si>
    <t>из них собственные средства (01.00.00)</t>
  </si>
  <si>
    <t>ВСЕГО</t>
  </si>
  <si>
    <t>Утверждено в бюджете на 2011 год</t>
  </si>
  <si>
    <t>Обслуживание муниципального долга</t>
  </si>
  <si>
    <t>Средства массовой информации</t>
  </si>
  <si>
    <t>,</t>
  </si>
  <si>
    <t>Доплата за звание "Почетный гражданин района"</t>
  </si>
  <si>
    <t>Ожидаемая оценка 2011 года по собственным средствам</t>
  </si>
  <si>
    <t>Отклонение уточненного плана на 01.09.11 от ожидаемой оценки</t>
  </si>
  <si>
    <t>Предполагаемое распределение</t>
  </si>
  <si>
    <t>Здравоохранение</t>
  </si>
  <si>
    <t>1. Содержание дорог</t>
  </si>
  <si>
    <t>3. Мероприятия по землеустройству и землепользованию</t>
  </si>
  <si>
    <t>4.субсидия монзажелтранс</t>
  </si>
  <si>
    <t>5.субсидия АТП</t>
  </si>
  <si>
    <t>6.Управление по имущественным и земельным отношениям</t>
  </si>
  <si>
    <t>Утверждено (уточнение февраля) решением о бюджете 2013 г</t>
  </si>
  <si>
    <t>в том числе добровольные пожертвование от Газпрома</t>
  </si>
  <si>
    <t>просроченная кредиторская задолженность на 01.08.2013</t>
  </si>
  <si>
    <t>просроченная кредиторская задолженность на 01.01.2014</t>
  </si>
  <si>
    <t>расходы на МФЦ</t>
  </si>
  <si>
    <t>Дотация на поддержку мер по обеспечению сбалансированности местных бюджетов муниципальных районов на финансирование расходов, предусмотренных решением о бюджете</t>
  </si>
  <si>
    <t>* Глава района</t>
  </si>
  <si>
    <t>* Администрация района</t>
  </si>
  <si>
    <t>*Контрольно-счетная палата района</t>
  </si>
  <si>
    <t>*Управление финансов района</t>
  </si>
  <si>
    <t>Судебная система</t>
  </si>
  <si>
    <t xml:space="preserve"> Резервный фонд </t>
  </si>
  <si>
    <t xml:space="preserve"> Другие общегосударственные вопросы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</si>
  <si>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</si>
  <si>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Обеспечение деятельности ЕДДС</t>
  </si>
  <si>
    <t>Содержание ПСО</t>
  </si>
  <si>
    <t>из них собств. средства (01.00.00)</t>
  </si>
  <si>
    <t>мероприятия по экологии</t>
  </si>
  <si>
    <t>МП "Развитие кадрового потенциала"</t>
  </si>
  <si>
    <t>2. БУ "КИТЦ"</t>
  </si>
  <si>
    <t>Санитарно-эпидемиологическое благополучие (отлов бродячих животных)</t>
  </si>
  <si>
    <t>Специалисты села (ЕДК)</t>
  </si>
  <si>
    <t>софинансирование МП "Устойчивое развитие сельсвих территорий"</t>
  </si>
  <si>
    <t>Физическая культура и спорт</t>
  </si>
  <si>
    <t>стипендии</t>
  </si>
  <si>
    <t>Причины неиспользования бюджетных средств</t>
  </si>
  <si>
    <t>МП "Поддержка  малого и среднего предпринимательства"</t>
  </si>
  <si>
    <t>Расходы по исполнительному листу по погашению кредиторской задолженности по КОСу</t>
  </si>
  <si>
    <t>Расходы на капитальный, текущий ремонт и содержание жилого фонда</t>
  </si>
  <si>
    <t>3. Молодежная политика и оздоровление</t>
  </si>
  <si>
    <t>4. Другие вопросы в области образования</t>
  </si>
  <si>
    <t>сельхозперепись</t>
  </si>
  <si>
    <t>добровольные пожертвования от Газпром</t>
  </si>
  <si>
    <t>иные межбюджетные трансферты (беженцы) кредиторская задолженность 2015 года</t>
  </si>
  <si>
    <t>субсидия "Борщевик Сосновского"</t>
  </si>
  <si>
    <t>летний отдых (компенсация части стоимости путевок)</t>
  </si>
  <si>
    <t>Ожидаемая проср. кред. зад. на 01.01.2017 года</t>
  </si>
  <si>
    <t>2. Социальное обеспечение населения</t>
  </si>
  <si>
    <t>из них собств. средства по бюджету (01.00.00)</t>
  </si>
  <si>
    <t>МП "Устойчивое развитие с/т" (конкурсы)</t>
  </si>
  <si>
    <t xml:space="preserve">Программа по переселению граждан из ветхого и аварийного жилья </t>
  </si>
  <si>
    <t>4. Охрана семьи и детства (вознаграждение приемным родителям,  родительская плата)</t>
  </si>
  <si>
    <t>Утверждено по СБР на2016 год</t>
  </si>
  <si>
    <t>Исполнено за 2016 год</t>
  </si>
  <si>
    <t>Процент исп к утв бюджету</t>
  </si>
  <si>
    <t>Процент исп к утв бюджету по собств средствам</t>
  </si>
  <si>
    <t>иные межбюджетные трнасферты на развитие инвестиционной привлекательности муниципального района</t>
  </si>
  <si>
    <t>строительство и реконструкция объектов газификации</t>
  </si>
  <si>
    <t>Низкий процент освоения бюджетных ассигнований  по данному разделу связан с реализацией программы  №7«Переселение граждан из аварийного жилищного фонда в муниципальных образованиях ВО с учетом необходим развития  малоэтажного строительства». В конце декабре 2016г были заключены договора  срок исполнения, которых в 2017 году. Конкурсные процедуры по заключению контрактов проводились в декабре 2016 г. Заключение и исполнении контрактов планируется в 2017г.</t>
  </si>
  <si>
    <t>Исполнение по расходам бюджета Грязовецкого муниципального района за 2016 год (тыс.руб.)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</si>
</sst>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"/>
    <numFmt numFmtId="182" formatCode="0.00000"/>
    <numFmt numFmtId="183" formatCode="0.0000"/>
    <numFmt numFmtId="184" formatCode="0.000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Calibri"/>
      <family val="2"/>
    </font>
    <font>
      <sz val="26"/>
      <name val="Times New Roman"/>
      <family val="1"/>
    </font>
    <font>
      <sz val="26"/>
      <name val="Arial"/>
      <family val="0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85" fontId="4" fillId="0" borderId="10" xfId="0" applyNumberFormat="1" applyFont="1" applyBorder="1" applyAlignment="1">
      <alignment horizontal="center" wrapText="1"/>
    </xf>
    <xf numFmtId="185" fontId="4" fillId="0" borderId="10" xfId="0" applyNumberFormat="1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181" fontId="5" fillId="0" borderId="10" xfId="0" applyNumberFormat="1" applyFont="1" applyBorder="1" applyAlignment="1">
      <alignment horizontal="left" vertical="center" wrapText="1"/>
    </xf>
    <xf numFmtId="181" fontId="5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left" vertical="center" wrapText="1"/>
    </xf>
    <xf numFmtId="181" fontId="4" fillId="0" borderId="10" xfId="0" applyNumberFormat="1" applyFont="1" applyBorder="1" applyAlignment="1">
      <alignment horizontal="center" wrapText="1"/>
    </xf>
    <xf numFmtId="18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185" fontId="9" fillId="0" borderId="10" xfId="0" applyNumberFormat="1" applyFont="1" applyBorder="1" applyAlignment="1">
      <alignment horizontal="center" wrapText="1"/>
    </xf>
    <xf numFmtId="185" fontId="9" fillId="0" borderId="10" xfId="0" applyNumberFormat="1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7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horizontal="center" wrapText="1"/>
    </xf>
    <xf numFmtId="185" fontId="7" fillId="0" borderId="10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right" wrapText="1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/>
    </xf>
    <xf numFmtId="185" fontId="7" fillId="0" borderId="10" xfId="0" applyNumberFormat="1" applyFont="1" applyBorder="1" applyAlignment="1">
      <alignment/>
    </xf>
    <xf numFmtId="185" fontId="7" fillId="0" borderId="0" xfId="0" applyNumberFormat="1" applyFont="1" applyAlignment="1">
      <alignment/>
    </xf>
    <xf numFmtId="185" fontId="7" fillId="0" borderId="13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185" fontId="7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81" fontId="7" fillId="0" borderId="10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185" fontId="7" fillId="0" borderId="0" xfId="0" applyNumberFormat="1" applyFont="1" applyBorder="1" applyAlignment="1">
      <alignment horizontal="center" wrapText="1"/>
    </xf>
    <xf numFmtId="185" fontId="7" fillId="0" borderId="13" xfId="0" applyNumberFormat="1" applyFont="1" applyBorder="1" applyAlignment="1">
      <alignment horizontal="center" wrapText="1"/>
    </xf>
    <xf numFmtId="181" fontId="9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185" fontId="7" fillId="0" borderId="10" xfId="0" applyNumberFormat="1" applyFont="1" applyBorder="1" applyAlignment="1">
      <alignment horizontal="right" wrapText="1"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185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185" fontId="9" fillId="0" borderId="13" xfId="0" applyNumberFormat="1" applyFont="1" applyBorder="1" applyAlignment="1">
      <alignment horizontal="center" wrapText="1"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185" fontId="10" fillId="0" borderId="10" xfId="0" applyNumberFormat="1" applyFont="1" applyBorder="1" applyAlignment="1">
      <alignment wrapText="1"/>
    </xf>
    <xf numFmtId="185" fontId="9" fillId="0" borderId="10" xfId="0" applyNumberFormat="1" applyFont="1" applyBorder="1" applyAlignment="1">
      <alignment wrapText="1"/>
    </xf>
    <xf numFmtId="185" fontId="9" fillId="0" borderId="0" xfId="0" applyNumberFormat="1" applyFont="1" applyAlignment="1">
      <alignment/>
    </xf>
    <xf numFmtId="185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81" fontId="9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81" fontId="9" fillId="0" borderId="13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81" fontId="5" fillId="0" borderId="10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B99"/>
  <sheetViews>
    <sheetView tabSelected="1" zoomScale="55" zoomScaleNormal="55" zoomScaleSheetLayoutView="75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4"/>
    </sheetView>
  </sheetViews>
  <sheetFormatPr defaultColWidth="8.8515625" defaultRowHeight="12.75"/>
  <cols>
    <col min="1" max="1" width="82.7109375" style="1" customWidth="1"/>
    <col min="2" max="2" width="11.140625" style="1" hidden="1" customWidth="1"/>
    <col min="3" max="3" width="13.421875" style="1" hidden="1" customWidth="1"/>
    <col min="4" max="4" width="10.140625" style="1" hidden="1" customWidth="1"/>
    <col min="5" max="5" width="23.57421875" style="1" customWidth="1"/>
    <col min="6" max="6" width="25.140625" style="1" customWidth="1"/>
    <col min="7" max="8" width="12.7109375" style="1" hidden="1" customWidth="1"/>
    <col min="9" max="9" width="26.00390625" style="1" customWidth="1"/>
    <col min="10" max="10" width="8.8515625" style="1" hidden="1" customWidth="1"/>
    <col min="11" max="11" width="27.28125" style="1" customWidth="1"/>
    <col min="12" max="12" width="23.421875" style="2" customWidth="1"/>
    <col min="13" max="13" width="0.2890625" style="1" hidden="1" customWidth="1"/>
    <col min="14" max="14" width="11.57421875" style="1" hidden="1" customWidth="1"/>
    <col min="15" max="15" width="10.7109375" style="1" hidden="1" customWidth="1"/>
    <col min="16" max="16" width="8.8515625" style="1" hidden="1" customWidth="1"/>
    <col min="17" max="17" width="15.00390625" style="1" hidden="1" customWidth="1"/>
    <col min="18" max="18" width="5.57421875" style="1" hidden="1" customWidth="1"/>
    <col min="19" max="19" width="24.7109375" style="1" customWidth="1"/>
    <col min="20" max="20" width="69.00390625" style="2" customWidth="1"/>
    <col min="21" max="21" width="19.8515625" style="2" hidden="1" customWidth="1"/>
    <col min="22" max="22" width="0.13671875" style="2" hidden="1" customWidth="1"/>
    <col min="23" max="23" width="17.8515625" style="2" hidden="1" customWidth="1"/>
    <col min="24" max="24" width="0.2890625" style="1" hidden="1" customWidth="1"/>
    <col min="25" max="27" width="8.8515625" style="1" hidden="1" customWidth="1"/>
    <col min="28" max="28" width="1.28515625" style="1" hidden="1" customWidth="1"/>
    <col min="29" max="16384" width="8.8515625" style="1" customWidth="1"/>
  </cols>
  <sheetData>
    <row r="1" spans="1:23" ht="41.25" customHeight="1">
      <c r="A1" s="84" t="s">
        <v>86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8" ht="12.75" customHeight="1">
      <c r="A2" s="78" t="s">
        <v>20</v>
      </c>
      <c r="B2" s="78" t="s">
        <v>23</v>
      </c>
      <c r="C2" s="78" t="s">
        <v>37</v>
      </c>
      <c r="D2" s="78"/>
      <c r="E2" s="74" t="s">
        <v>79</v>
      </c>
      <c r="F2" s="95"/>
      <c r="G2" s="95"/>
      <c r="H2" s="95"/>
      <c r="I2" s="78" t="s">
        <v>80</v>
      </c>
      <c r="J2" s="90"/>
      <c r="K2" s="91"/>
      <c r="L2" s="74" t="s">
        <v>81</v>
      </c>
      <c r="M2" s="18"/>
      <c r="N2" s="86" t="s">
        <v>28</v>
      </c>
      <c r="O2" s="88" t="s">
        <v>29</v>
      </c>
      <c r="P2" s="86" t="s">
        <v>30</v>
      </c>
      <c r="Q2" s="82" t="s">
        <v>39</v>
      </c>
      <c r="R2" s="74" t="s">
        <v>40</v>
      </c>
      <c r="S2" s="74" t="s">
        <v>82</v>
      </c>
      <c r="T2" s="79" t="s">
        <v>62</v>
      </c>
      <c r="U2" s="79"/>
      <c r="V2" s="19"/>
      <c r="W2" s="94" t="s">
        <v>73</v>
      </c>
      <c r="AB2" s="77"/>
    </row>
    <row r="3" spans="1:28" ht="75" customHeight="1">
      <c r="A3" s="79"/>
      <c r="B3" s="79"/>
      <c r="C3" s="79"/>
      <c r="D3" s="79"/>
      <c r="E3" s="76"/>
      <c r="F3" s="96"/>
      <c r="G3" s="96"/>
      <c r="H3" s="96"/>
      <c r="I3" s="79"/>
      <c r="J3" s="92"/>
      <c r="K3" s="93"/>
      <c r="L3" s="75"/>
      <c r="M3" s="18"/>
      <c r="N3" s="87"/>
      <c r="O3" s="89"/>
      <c r="P3" s="87"/>
      <c r="Q3" s="83"/>
      <c r="R3" s="75"/>
      <c r="S3" s="75"/>
      <c r="T3" s="79"/>
      <c r="U3" s="79"/>
      <c r="V3" s="19"/>
      <c r="W3" s="94"/>
      <c r="AB3" s="77"/>
    </row>
    <row r="4" spans="1:28" ht="198" customHeight="1">
      <c r="A4" s="79"/>
      <c r="B4" s="79"/>
      <c r="C4" s="21" t="s">
        <v>22</v>
      </c>
      <c r="D4" s="22" t="s">
        <v>21</v>
      </c>
      <c r="E4" s="19" t="s">
        <v>22</v>
      </c>
      <c r="F4" s="22" t="s">
        <v>75</v>
      </c>
      <c r="G4" s="21" t="s">
        <v>22</v>
      </c>
      <c r="H4" s="22" t="s">
        <v>21</v>
      </c>
      <c r="I4" s="23" t="s">
        <v>22</v>
      </c>
      <c r="J4" s="24"/>
      <c r="K4" s="25" t="s">
        <v>53</v>
      </c>
      <c r="L4" s="76"/>
      <c r="M4" s="18"/>
      <c r="N4" s="87"/>
      <c r="O4" s="89"/>
      <c r="P4" s="87"/>
      <c r="Q4" s="78"/>
      <c r="R4" s="76"/>
      <c r="S4" s="76"/>
      <c r="T4" s="79"/>
      <c r="U4" s="79"/>
      <c r="V4" s="19"/>
      <c r="W4" s="94"/>
      <c r="AB4" s="77"/>
    </row>
    <row r="5" spans="1:28" ht="33">
      <c r="A5" s="26" t="s">
        <v>6</v>
      </c>
      <c r="B5" s="26" t="e">
        <f>B6+B15+B17</f>
        <v>#REF!</v>
      </c>
      <c r="C5" s="26" t="e">
        <f>C6+C17</f>
        <v>#REF!</v>
      </c>
      <c r="D5" s="26" t="e">
        <f>D6+D17</f>
        <v>#REF!</v>
      </c>
      <c r="E5" s="27">
        <f>E6+E14+E15+E17+E16</f>
        <v>51342.69999999998</v>
      </c>
      <c r="F5" s="27">
        <f aca="true" t="shared" si="0" ref="F5:K5">F6+F14+F15+F17+F16</f>
        <v>40264.799999999996</v>
      </c>
      <c r="G5" s="27">
        <f t="shared" si="0"/>
        <v>0</v>
      </c>
      <c r="H5" s="27">
        <f t="shared" si="0"/>
        <v>0</v>
      </c>
      <c r="I5" s="27">
        <f t="shared" si="0"/>
        <v>51342.69999999998</v>
      </c>
      <c r="J5" s="27">
        <f t="shared" si="0"/>
        <v>0</v>
      </c>
      <c r="K5" s="27">
        <f t="shared" si="0"/>
        <v>40264.799999999996</v>
      </c>
      <c r="L5" s="28">
        <f>I5/E5*100</f>
        <v>100</v>
      </c>
      <c r="M5" s="18"/>
      <c r="N5" s="29" t="e">
        <f>N6+N15+N17</f>
        <v>#REF!</v>
      </c>
      <c r="O5" s="29" t="e">
        <f>O6+O15+O17</f>
        <v>#REF!</v>
      </c>
      <c r="P5" s="26" t="e">
        <f>P6+P15+P17</f>
        <v>#REF!</v>
      </c>
      <c r="Q5" s="26">
        <f>Q9+Q17+Q12</f>
        <v>1509.1000000000004</v>
      </c>
      <c r="R5" s="29">
        <f>R9+R17+R12</f>
        <v>844.5</v>
      </c>
      <c r="S5" s="29">
        <f>K5/F5*100</f>
        <v>100</v>
      </c>
      <c r="T5" s="6"/>
      <c r="U5" s="27"/>
      <c r="V5" s="26"/>
      <c r="W5" s="5">
        <f>W6+W17</f>
        <v>371.2</v>
      </c>
      <c r="AB5" s="2"/>
    </row>
    <row r="6" spans="1:28" ht="66">
      <c r="A6" s="30" t="s">
        <v>0</v>
      </c>
      <c r="B6" s="31" t="e">
        <f>B8+#REF!+B9+B10+B11+B12</f>
        <v>#REF!</v>
      </c>
      <c r="C6" s="31">
        <f>C8+C9+C11+C12+C15</f>
        <v>38286.9</v>
      </c>
      <c r="D6" s="31">
        <f>D8+D9+D11+D12+D15</f>
        <v>35440.4</v>
      </c>
      <c r="E6" s="32">
        <f>E8+E9+E11+E12+E13</f>
        <v>41982.59999999999</v>
      </c>
      <c r="F6" s="32">
        <f aca="true" t="shared" si="1" ref="F6:K6">F8+F9+F11+F12+F13</f>
        <v>37520</v>
      </c>
      <c r="G6" s="32">
        <f t="shared" si="1"/>
        <v>0</v>
      </c>
      <c r="H6" s="32">
        <f t="shared" si="1"/>
        <v>0</v>
      </c>
      <c r="I6" s="32">
        <f>I8+I9+I11+I12+I13</f>
        <v>41982.59999999999</v>
      </c>
      <c r="J6" s="32">
        <f t="shared" si="1"/>
        <v>0</v>
      </c>
      <c r="K6" s="32">
        <f t="shared" si="1"/>
        <v>37520</v>
      </c>
      <c r="L6" s="28">
        <f>I6/E6*100</f>
        <v>100</v>
      </c>
      <c r="M6" s="18"/>
      <c r="N6" s="33" t="e">
        <f>N8+#REF!+N9+N10+N11+N12</f>
        <v>#REF!</v>
      </c>
      <c r="O6" s="33" t="e">
        <f>O8+#REF!+O9+O10+O11+O12</f>
        <v>#REF!</v>
      </c>
      <c r="P6" s="34"/>
      <c r="Q6" s="34"/>
      <c r="R6" s="35"/>
      <c r="S6" s="29">
        <f aca="true" t="shared" si="2" ref="S6:S31">K6/F6*100</f>
        <v>100</v>
      </c>
      <c r="T6" s="8"/>
      <c r="U6" s="32"/>
      <c r="V6" s="26"/>
      <c r="W6" s="7">
        <f>SUM(W8:W15)</f>
        <v>356</v>
      </c>
      <c r="AB6" s="2"/>
    </row>
    <row r="7" spans="1:28" ht="33">
      <c r="A7" s="34" t="s">
        <v>1</v>
      </c>
      <c r="B7" s="36"/>
      <c r="C7" s="34"/>
      <c r="D7" s="34"/>
      <c r="E7" s="37"/>
      <c r="F7" s="37"/>
      <c r="G7" s="37"/>
      <c r="H7" s="37"/>
      <c r="I7" s="37"/>
      <c r="J7" s="38"/>
      <c r="K7" s="39"/>
      <c r="L7" s="28"/>
      <c r="M7" s="18"/>
      <c r="N7" s="40"/>
      <c r="O7" s="41"/>
      <c r="P7" s="34"/>
      <c r="Q7" s="34"/>
      <c r="R7" s="35"/>
      <c r="S7" s="29"/>
      <c r="T7" s="10"/>
      <c r="U7" s="36"/>
      <c r="V7" s="26"/>
      <c r="W7" s="9"/>
      <c r="AB7" s="2"/>
    </row>
    <row r="8" spans="1:28" ht="33">
      <c r="A8" s="34" t="s">
        <v>43</v>
      </c>
      <c r="B8" s="36">
        <v>1391.4</v>
      </c>
      <c r="C8" s="34">
        <v>1564</v>
      </c>
      <c r="D8" s="34">
        <v>1564</v>
      </c>
      <c r="E8" s="37">
        <v>1775.1</v>
      </c>
      <c r="F8" s="37">
        <v>1775.1</v>
      </c>
      <c r="G8" s="37"/>
      <c r="H8" s="37"/>
      <c r="I8" s="37">
        <v>1775.1</v>
      </c>
      <c r="J8" s="38"/>
      <c r="K8" s="39">
        <v>1775.1</v>
      </c>
      <c r="L8" s="28">
        <f>I8/E8*100</f>
        <v>100</v>
      </c>
      <c r="M8" s="18"/>
      <c r="N8" s="40">
        <f>1192.8+159.6</f>
        <v>1352.3999999999999</v>
      </c>
      <c r="O8" s="41">
        <f>H8-N8</f>
        <v>-1352.3999999999999</v>
      </c>
      <c r="P8" s="34"/>
      <c r="Q8" s="34"/>
      <c r="R8" s="35"/>
      <c r="S8" s="29">
        <f t="shared" si="2"/>
        <v>100</v>
      </c>
      <c r="T8" s="10"/>
      <c r="U8" s="36"/>
      <c r="V8" s="26"/>
      <c r="W8" s="9"/>
      <c r="AB8" s="2"/>
    </row>
    <row r="9" spans="1:28" ht="33">
      <c r="A9" s="34" t="s">
        <v>44</v>
      </c>
      <c r="B9" s="36">
        <v>29384.5</v>
      </c>
      <c r="C9" s="34">
        <v>27081.9</v>
      </c>
      <c r="D9" s="34">
        <v>25283.4</v>
      </c>
      <c r="E9" s="37">
        <v>31214.1</v>
      </c>
      <c r="F9" s="37">
        <v>27449.5</v>
      </c>
      <c r="G9" s="37"/>
      <c r="H9" s="37"/>
      <c r="I9" s="37">
        <v>31214.1</v>
      </c>
      <c r="J9" s="38"/>
      <c r="K9" s="39">
        <v>27449.5</v>
      </c>
      <c r="L9" s="28">
        <f>I9/E9*100</f>
        <v>100</v>
      </c>
      <c r="M9" s="18"/>
      <c r="N9" s="34">
        <f>907.2+159.4+13788.7+4191.1+5611.1</f>
        <v>24657.5</v>
      </c>
      <c r="O9" s="41">
        <f>H9-N9</f>
        <v>-24657.5</v>
      </c>
      <c r="P9" s="34"/>
      <c r="Q9" s="34">
        <f>361.4+47.2+375.7+1290.5+236.8+2459.9+281.1-196.8-676.9-190.5-2459.9-557.8</f>
        <v>970.7000000000005</v>
      </c>
      <c r="R9" s="35">
        <v>512.8</v>
      </c>
      <c r="S9" s="29">
        <f t="shared" si="2"/>
        <v>100</v>
      </c>
      <c r="T9" s="10"/>
      <c r="U9" s="36"/>
      <c r="V9" s="26"/>
      <c r="W9" s="9">
        <v>356</v>
      </c>
      <c r="AB9" s="2"/>
    </row>
    <row r="10" spans="1:28" ht="80.25" customHeight="1" hidden="1">
      <c r="A10" s="43"/>
      <c r="B10" s="20">
        <v>4564.8</v>
      </c>
      <c r="C10" s="43"/>
      <c r="D10" s="43"/>
      <c r="E10" s="44"/>
      <c r="F10" s="44"/>
      <c r="G10" s="44"/>
      <c r="H10" s="44"/>
      <c r="I10" s="37"/>
      <c r="J10" s="38"/>
      <c r="K10" s="39"/>
      <c r="L10" s="28"/>
      <c r="M10" s="18"/>
      <c r="N10" s="34">
        <v>4348.2</v>
      </c>
      <c r="O10" s="41">
        <f>H10-N10</f>
        <v>-4348.2</v>
      </c>
      <c r="P10" s="34"/>
      <c r="Q10" s="34"/>
      <c r="R10" s="35"/>
      <c r="S10" s="29" t="e">
        <f t="shared" si="2"/>
        <v>#DIV/0!</v>
      </c>
      <c r="T10" s="10"/>
      <c r="U10" s="36"/>
      <c r="V10" s="26"/>
      <c r="W10" s="9"/>
      <c r="AB10" s="2"/>
    </row>
    <row r="11" spans="1:28" ht="33">
      <c r="A11" s="34" t="s">
        <v>45</v>
      </c>
      <c r="B11" s="36">
        <v>1432.4</v>
      </c>
      <c r="C11" s="34">
        <v>1777.5</v>
      </c>
      <c r="D11" s="34">
        <v>967.5</v>
      </c>
      <c r="E11" s="37">
        <f>1556-8.3</f>
        <v>1547.7</v>
      </c>
      <c r="F11" s="37">
        <f>858-8.3</f>
        <v>849.7</v>
      </c>
      <c r="G11" s="37"/>
      <c r="H11" s="37"/>
      <c r="I11" s="37">
        <v>1547.7</v>
      </c>
      <c r="J11" s="38"/>
      <c r="K11" s="39">
        <f>858-8.3</f>
        <v>849.7</v>
      </c>
      <c r="L11" s="28">
        <f>I11/E11*100</f>
        <v>100</v>
      </c>
      <c r="M11" s="18"/>
      <c r="N11" s="34">
        <f>435.5+140.2+20</f>
        <v>595.7</v>
      </c>
      <c r="O11" s="41">
        <f>H11-N11</f>
        <v>-595.7</v>
      </c>
      <c r="P11" s="34"/>
      <c r="Q11" s="34"/>
      <c r="R11" s="35"/>
      <c r="S11" s="29">
        <f t="shared" si="2"/>
        <v>100</v>
      </c>
      <c r="T11" s="11"/>
      <c r="U11" s="36"/>
      <c r="V11" s="26"/>
      <c r="W11" s="12"/>
      <c r="AB11" s="2"/>
    </row>
    <row r="12" spans="1:28" ht="33">
      <c r="A12" s="34" t="s">
        <v>46</v>
      </c>
      <c r="B12" s="36">
        <v>7552.6</v>
      </c>
      <c r="C12" s="34">
        <v>7363.5</v>
      </c>
      <c r="D12" s="34">
        <v>7125.5</v>
      </c>
      <c r="E12" s="37">
        <f>5765.4-3.3</f>
        <v>5762.099999999999</v>
      </c>
      <c r="F12" s="37">
        <f>5765.4-3.3</f>
        <v>5762.099999999999</v>
      </c>
      <c r="G12" s="37"/>
      <c r="H12" s="37"/>
      <c r="I12" s="37">
        <f>5765.4-3.3</f>
        <v>5762.099999999999</v>
      </c>
      <c r="J12" s="38"/>
      <c r="K12" s="39">
        <f>5765.4-3.3</f>
        <v>5762.099999999999</v>
      </c>
      <c r="L12" s="28">
        <f>I12/E12*100</f>
        <v>100</v>
      </c>
      <c r="M12" s="18"/>
      <c r="N12" s="34">
        <f>6925</f>
        <v>6925</v>
      </c>
      <c r="O12" s="41">
        <f>H12-N12</f>
        <v>-6925</v>
      </c>
      <c r="P12" s="34"/>
      <c r="Q12" s="34">
        <v>533.8</v>
      </c>
      <c r="R12" s="35">
        <v>331.7</v>
      </c>
      <c r="S12" s="29">
        <f t="shared" si="2"/>
        <v>100</v>
      </c>
      <c r="T12" s="10"/>
      <c r="U12" s="36"/>
      <c r="V12" s="26"/>
      <c r="W12" s="9"/>
      <c r="AB12" s="2"/>
    </row>
    <row r="13" spans="1:28" ht="33">
      <c r="A13" s="34" t="s">
        <v>2</v>
      </c>
      <c r="B13" s="36"/>
      <c r="C13" s="34"/>
      <c r="D13" s="34"/>
      <c r="E13" s="37">
        <v>1683.6</v>
      </c>
      <c r="F13" s="37">
        <v>1683.6</v>
      </c>
      <c r="G13" s="37"/>
      <c r="H13" s="37"/>
      <c r="I13" s="37">
        <v>1683.6</v>
      </c>
      <c r="J13" s="38"/>
      <c r="K13" s="39">
        <v>1683.6</v>
      </c>
      <c r="L13" s="28">
        <f>I13/E13*100</f>
        <v>100</v>
      </c>
      <c r="M13" s="18"/>
      <c r="N13" s="34"/>
      <c r="O13" s="41"/>
      <c r="P13" s="34"/>
      <c r="Q13" s="34"/>
      <c r="R13" s="35"/>
      <c r="S13" s="29">
        <f t="shared" si="2"/>
        <v>100</v>
      </c>
      <c r="T13" s="10"/>
      <c r="U13" s="36"/>
      <c r="V13" s="26"/>
      <c r="W13" s="9"/>
      <c r="AB13" s="2"/>
    </row>
    <row r="14" spans="1:28" ht="33">
      <c r="A14" s="34" t="s">
        <v>47</v>
      </c>
      <c r="B14" s="36"/>
      <c r="C14" s="34"/>
      <c r="D14" s="34"/>
      <c r="E14" s="37">
        <v>18.7</v>
      </c>
      <c r="F14" s="37">
        <v>0</v>
      </c>
      <c r="G14" s="37"/>
      <c r="H14" s="37"/>
      <c r="I14" s="37">
        <v>18.7</v>
      </c>
      <c r="J14" s="38"/>
      <c r="K14" s="39">
        <v>0</v>
      </c>
      <c r="L14" s="28">
        <f>I14/E14*100</f>
        <v>100</v>
      </c>
      <c r="M14" s="18"/>
      <c r="N14" s="34"/>
      <c r="O14" s="41"/>
      <c r="P14" s="34"/>
      <c r="Q14" s="34"/>
      <c r="R14" s="35"/>
      <c r="S14" s="29">
        <v>0</v>
      </c>
      <c r="T14" s="10"/>
      <c r="U14" s="36"/>
      <c r="V14" s="26"/>
      <c r="W14" s="9"/>
      <c r="AB14" s="2"/>
    </row>
    <row r="15" spans="1:28" ht="33">
      <c r="A15" s="43" t="s">
        <v>48</v>
      </c>
      <c r="B15" s="26">
        <v>500</v>
      </c>
      <c r="C15" s="43">
        <v>500</v>
      </c>
      <c r="D15" s="43">
        <v>500</v>
      </c>
      <c r="E15" s="44">
        <v>7.7</v>
      </c>
      <c r="F15" s="44">
        <v>7.7</v>
      </c>
      <c r="G15" s="44"/>
      <c r="H15" s="44"/>
      <c r="I15" s="37">
        <v>7.7</v>
      </c>
      <c r="J15" s="38"/>
      <c r="K15" s="39">
        <v>7.7</v>
      </c>
      <c r="L15" s="28">
        <f>I15/E15*100</f>
        <v>100</v>
      </c>
      <c r="M15" s="18"/>
      <c r="N15" s="34">
        <v>500</v>
      </c>
      <c r="O15" s="41">
        <f>H15-N15</f>
        <v>-500</v>
      </c>
      <c r="P15" s="34"/>
      <c r="Q15" s="34"/>
      <c r="R15" s="35"/>
      <c r="S15" s="29">
        <f t="shared" si="2"/>
        <v>100</v>
      </c>
      <c r="T15" s="10"/>
      <c r="U15" s="36"/>
      <c r="V15" s="26"/>
      <c r="W15" s="9"/>
      <c r="AB15" s="2"/>
    </row>
    <row r="16" spans="1:28" ht="33">
      <c r="A16" s="43"/>
      <c r="B16" s="26"/>
      <c r="C16" s="43"/>
      <c r="D16" s="43"/>
      <c r="E16" s="44"/>
      <c r="F16" s="44"/>
      <c r="G16" s="44"/>
      <c r="H16" s="44"/>
      <c r="I16" s="37"/>
      <c r="J16" s="38"/>
      <c r="K16" s="39"/>
      <c r="L16" s="28"/>
      <c r="M16" s="18"/>
      <c r="N16" s="34"/>
      <c r="O16" s="41"/>
      <c r="P16" s="34"/>
      <c r="Q16" s="34"/>
      <c r="R16" s="35"/>
      <c r="S16" s="29"/>
      <c r="T16" s="10"/>
      <c r="U16" s="36"/>
      <c r="V16" s="26"/>
      <c r="W16" s="9"/>
      <c r="AB16" s="2"/>
    </row>
    <row r="17" spans="1:28" ht="66">
      <c r="A17" s="45" t="s">
        <v>49</v>
      </c>
      <c r="B17" s="26" t="e">
        <f>B20+B21+#REF!+B22+B23+B24+#REF!+#REF!</f>
        <v>#REF!</v>
      </c>
      <c r="C17" s="26" t="e">
        <f>C20+C21+#REF!+C22+C23+C24+#REF!+#REF!+C27+#REF!+C19</f>
        <v>#REF!</v>
      </c>
      <c r="D17" s="26" t="e">
        <f>D20+D21+#REF!+D22+D23+D24+#REF!+#REF!+D27+#REF!+D19</f>
        <v>#REF!</v>
      </c>
      <c r="E17" s="27">
        <f>E20+E21+E22+E23+E24+E27+E19+E25+E32+E26+E28+E30+E29+E31</f>
        <v>9333.699999999999</v>
      </c>
      <c r="F17" s="27">
        <f aca="true" t="shared" si="3" ref="F17:K17">F20+F21+F22+F23+F24+F27+F19+F25+F32+F26+F28+F30+F29+F31</f>
        <v>2737.1</v>
      </c>
      <c r="G17" s="27">
        <f t="shared" si="3"/>
        <v>0</v>
      </c>
      <c r="H17" s="27">
        <f t="shared" si="3"/>
        <v>0</v>
      </c>
      <c r="I17" s="27">
        <f t="shared" si="3"/>
        <v>9333.699999999999</v>
      </c>
      <c r="J17" s="27">
        <f t="shared" si="3"/>
        <v>0</v>
      </c>
      <c r="K17" s="27">
        <f t="shared" si="3"/>
        <v>2737.1</v>
      </c>
      <c r="L17" s="27">
        <f>I17/E17*100</f>
        <v>100</v>
      </c>
      <c r="M17" s="18"/>
      <c r="N17" s="26" t="e">
        <f>N20+N21+#REF!+N22+N23+N24+#REF!+#REF!+N27</f>
        <v>#REF!</v>
      </c>
      <c r="O17" s="41" t="e">
        <f>H17-N17</f>
        <v>#REF!</v>
      </c>
      <c r="P17" s="26" t="e">
        <f>P20+P21+#REF!+P22+P23+P24+#REF!+#REF!+P27</f>
        <v>#REF!</v>
      </c>
      <c r="Q17" s="26">
        <f>Q24</f>
        <v>4.6</v>
      </c>
      <c r="R17" s="29">
        <f>R24</f>
        <v>0</v>
      </c>
      <c r="S17" s="29">
        <f t="shared" si="2"/>
        <v>100</v>
      </c>
      <c r="T17" s="6"/>
      <c r="U17" s="27"/>
      <c r="V17" s="26"/>
      <c r="W17" s="5">
        <f>W20+W21+W22+W23+W24++W27+W19+W25+W32</f>
        <v>15.2</v>
      </c>
      <c r="AB17" s="2"/>
    </row>
    <row r="18" spans="1:28" ht="33">
      <c r="A18" s="43" t="s">
        <v>3</v>
      </c>
      <c r="B18" s="20"/>
      <c r="C18" s="43"/>
      <c r="D18" s="43"/>
      <c r="E18" s="44"/>
      <c r="F18" s="44"/>
      <c r="G18" s="44"/>
      <c r="H18" s="44"/>
      <c r="I18" s="37"/>
      <c r="J18" s="38"/>
      <c r="K18" s="39"/>
      <c r="L18" s="28"/>
      <c r="M18" s="18"/>
      <c r="N18" s="34"/>
      <c r="O18" s="41">
        <f>H18-N18</f>
        <v>0</v>
      </c>
      <c r="P18" s="34"/>
      <c r="Q18" s="34"/>
      <c r="R18" s="35"/>
      <c r="S18" s="29"/>
      <c r="T18" s="10"/>
      <c r="U18" s="36"/>
      <c r="V18" s="26"/>
      <c r="W18" s="9"/>
      <c r="AB18" s="2"/>
    </row>
    <row r="19" spans="1:28" ht="33">
      <c r="A19" s="43" t="s">
        <v>41</v>
      </c>
      <c r="B19" s="20"/>
      <c r="C19" s="43">
        <v>90</v>
      </c>
      <c r="D19" s="43">
        <v>90</v>
      </c>
      <c r="E19" s="44">
        <v>4383.9</v>
      </c>
      <c r="F19" s="44">
        <v>685</v>
      </c>
      <c r="G19" s="44"/>
      <c r="H19" s="44"/>
      <c r="I19" s="37">
        <v>4383.9</v>
      </c>
      <c r="J19" s="38"/>
      <c r="K19" s="39">
        <v>685</v>
      </c>
      <c r="L19" s="28">
        <f>I19/E19*100</f>
        <v>100</v>
      </c>
      <c r="M19" s="18"/>
      <c r="N19" s="34"/>
      <c r="O19" s="41"/>
      <c r="P19" s="34"/>
      <c r="Q19" s="34"/>
      <c r="R19" s="35"/>
      <c r="S19" s="29">
        <f t="shared" si="2"/>
        <v>100</v>
      </c>
      <c r="T19" s="10"/>
      <c r="U19" s="36"/>
      <c r="V19" s="26"/>
      <c r="W19" s="9">
        <v>1.7</v>
      </c>
      <c r="AB19" s="2"/>
    </row>
    <row r="20" spans="1:28" ht="121.5" customHeight="1">
      <c r="A20" s="43" t="s">
        <v>83</v>
      </c>
      <c r="B20" s="20">
        <v>100</v>
      </c>
      <c r="C20" s="43">
        <v>150</v>
      </c>
      <c r="D20" s="43">
        <v>150</v>
      </c>
      <c r="E20" s="44">
        <v>250</v>
      </c>
      <c r="F20" s="44">
        <v>0</v>
      </c>
      <c r="G20" s="44"/>
      <c r="H20" s="44"/>
      <c r="I20" s="37">
        <v>250</v>
      </c>
      <c r="J20" s="38"/>
      <c r="K20" s="39">
        <v>0</v>
      </c>
      <c r="L20" s="28">
        <v>100</v>
      </c>
      <c r="M20" s="18" t="s">
        <v>26</v>
      </c>
      <c r="N20" s="34">
        <v>100</v>
      </c>
      <c r="O20" s="41">
        <f>H20-N20</f>
        <v>-100</v>
      </c>
      <c r="P20" s="34"/>
      <c r="Q20" s="34"/>
      <c r="R20" s="35"/>
      <c r="S20" s="29">
        <v>0</v>
      </c>
      <c r="T20" s="11"/>
      <c r="U20" s="46"/>
      <c r="V20" s="26"/>
      <c r="W20" s="12"/>
      <c r="AB20" s="2"/>
    </row>
    <row r="21" spans="1:28" ht="66">
      <c r="A21" s="43" t="s">
        <v>27</v>
      </c>
      <c r="B21" s="20">
        <v>668.4</v>
      </c>
      <c r="C21" s="43">
        <v>750</v>
      </c>
      <c r="D21" s="43">
        <v>750</v>
      </c>
      <c r="E21" s="44">
        <v>717.6</v>
      </c>
      <c r="F21" s="44">
        <v>717.6</v>
      </c>
      <c r="G21" s="44"/>
      <c r="H21" s="44"/>
      <c r="I21" s="37">
        <v>717.6</v>
      </c>
      <c r="J21" s="38"/>
      <c r="K21" s="39">
        <v>717.6</v>
      </c>
      <c r="L21" s="28">
        <f>I21/E21*100</f>
        <v>100</v>
      </c>
      <c r="M21" s="18"/>
      <c r="N21" s="34">
        <v>714.4</v>
      </c>
      <c r="O21" s="41">
        <f>H21-N21</f>
        <v>-714.4</v>
      </c>
      <c r="P21" s="34"/>
      <c r="Q21" s="34"/>
      <c r="R21" s="35"/>
      <c r="S21" s="29">
        <f t="shared" si="2"/>
        <v>100</v>
      </c>
      <c r="T21" s="10"/>
      <c r="U21" s="36"/>
      <c r="V21" s="26"/>
      <c r="W21" s="9"/>
      <c r="AB21" s="2"/>
    </row>
    <row r="22" spans="1:28" ht="33">
      <c r="A22" s="43" t="s">
        <v>4</v>
      </c>
      <c r="B22" s="20">
        <v>250</v>
      </c>
      <c r="C22" s="43">
        <v>300</v>
      </c>
      <c r="D22" s="43">
        <v>300</v>
      </c>
      <c r="E22" s="44">
        <v>300</v>
      </c>
      <c r="F22" s="44">
        <v>300</v>
      </c>
      <c r="G22" s="44"/>
      <c r="H22" s="44"/>
      <c r="I22" s="44">
        <v>300</v>
      </c>
      <c r="J22" s="44"/>
      <c r="K22" s="47">
        <v>300</v>
      </c>
      <c r="L22" s="28">
        <f>I22/E22*100</f>
        <v>100</v>
      </c>
      <c r="M22" s="18"/>
      <c r="N22" s="34">
        <v>244.2</v>
      </c>
      <c r="O22" s="35">
        <f>H22-N22</f>
        <v>-244.2</v>
      </c>
      <c r="P22" s="34"/>
      <c r="Q22" s="34"/>
      <c r="R22" s="35"/>
      <c r="S22" s="29">
        <f t="shared" si="2"/>
        <v>100</v>
      </c>
      <c r="T22" s="10"/>
      <c r="U22" s="20"/>
      <c r="V22" s="26"/>
      <c r="W22" s="3"/>
      <c r="AB22" s="2"/>
    </row>
    <row r="23" spans="1:28" ht="66">
      <c r="A23" s="43" t="s">
        <v>5</v>
      </c>
      <c r="B23" s="20">
        <v>300</v>
      </c>
      <c r="C23" s="43">
        <v>252</v>
      </c>
      <c r="D23" s="43">
        <v>252</v>
      </c>
      <c r="E23" s="44">
        <v>910.3</v>
      </c>
      <c r="F23" s="44">
        <v>910.3</v>
      </c>
      <c r="G23" s="44"/>
      <c r="H23" s="44"/>
      <c r="I23" s="37">
        <v>910.3</v>
      </c>
      <c r="J23" s="38"/>
      <c r="K23" s="39">
        <v>910.3</v>
      </c>
      <c r="L23" s="28">
        <f>I23/E23*100</f>
        <v>100</v>
      </c>
      <c r="M23" s="18"/>
      <c r="N23" s="34">
        <v>300</v>
      </c>
      <c r="O23" s="35">
        <f>H23-N23</f>
        <v>-300</v>
      </c>
      <c r="P23" s="34"/>
      <c r="Q23" s="34"/>
      <c r="R23" s="35"/>
      <c r="S23" s="29">
        <f t="shared" si="2"/>
        <v>100</v>
      </c>
      <c r="T23" s="10"/>
      <c r="U23" s="36"/>
      <c r="V23" s="26"/>
      <c r="W23" s="9">
        <v>13.5</v>
      </c>
      <c r="AB23" s="2"/>
    </row>
    <row r="24" spans="1:28" ht="33" customHeight="1" hidden="1">
      <c r="A24" s="43"/>
      <c r="B24" s="20">
        <v>500</v>
      </c>
      <c r="C24" s="43">
        <v>1199.1</v>
      </c>
      <c r="D24" s="43">
        <v>1199.1</v>
      </c>
      <c r="E24" s="44"/>
      <c r="F24" s="44"/>
      <c r="G24" s="44"/>
      <c r="H24" s="44"/>
      <c r="I24" s="37"/>
      <c r="J24" s="38"/>
      <c r="K24" s="39"/>
      <c r="L24" s="28"/>
      <c r="M24" s="18"/>
      <c r="N24" s="34">
        <f>H24+212.3</f>
        <v>212.3</v>
      </c>
      <c r="O24" s="35">
        <f>H24-N24</f>
        <v>-212.3</v>
      </c>
      <c r="P24" s="34">
        <v>212.3</v>
      </c>
      <c r="Q24" s="34">
        <v>4.6</v>
      </c>
      <c r="R24" s="35"/>
      <c r="S24" s="29" t="e">
        <f t="shared" si="2"/>
        <v>#DIV/0!</v>
      </c>
      <c r="T24" s="11"/>
      <c r="U24" s="46"/>
      <c r="V24" s="26"/>
      <c r="W24" s="12"/>
      <c r="AB24" s="2"/>
    </row>
    <row r="25" spans="1:28" ht="66">
      <c r="A25" s="43" t="s">
        <v>55</v>
      </c>
      <c r="B25" s="20"/>
      <c r="C25" s="43">
        <v>100</v>
      </c>
      <c r="D25" s="43">
        <v>100</v>
      </c>
      <c r="E25" s="44">
        <v>30</v>
      </c>
      <c r="F25" s="44">
        <v>30</v>
      </c>
      <c r="G25" s="44"/>
      <c r="H25" s="44"/>
      <c r="I25" s="37">
        <v>30</v>
      </c>
      <c r="J25" s="38"/>
      <c r="K25" s="39">
        <v>30</v>
      </c>
      <c r="L25" s="28">
        <f>I25/E25*100</f>
        <v>100</v>
      </c>
      <c r="M25" s="18"/>
      <c r="N25" s="34"/>
      <c r="O25" s="35"/>
      <c r="P25" s="34"/>
      <c r="Q25" s="34"/>
      <c r="R25" s="35"/>
      <c r="S25" s="29">
        <f t="shared" si="2"/>
        <v>100</v>
      </c>
      <c r="T25" s="11"/>
      <c r="U25" s="46"/>
      <c r="V25" s="26"/>
      <c r="W25" s="12"/>
      <c r="AB25" s="2"/>
    </row>
    <row r="26" spans="1:28" ht="33" customHeight="1" hidden="1">
      <c r="A26" s="43"/>
      <c r="B26" s="20"/>
      <c r="C26" s="43"/>
      <c r="D26" s="43"/>
      <c r="E26" s="44"/>
      <c r="F26" s="44"/>
      <c r="G26" s="44"/>
      <c r="H26" s="44"/>
      <c r="I26" s="37"/>
      <c r="J26" s="38"/>
      <c r="K26" s="39"/>
      <c r="L26" s="28"/>
      <c r="M26" s="18"/>
      <c r="N26" s="34"/>
      <c r="O26" s="35"/>
      <c r="P26" s="34"/>
      <c r="Q26" s="34"/>
      <c r="R26" s="35"/>
      <c r="S26" s="29" t="e">
        <f t="shared" si="2"/>
        <v>#DIV/0!</v>
      </c>
      <c r="T26" s="11"/>
      <c r="U26" s="46"/>
      <c r="V26" s="26"/>
      <c r="W26" s="12"/>
      <c r="AB26" s="2"/>
    </row>
    <row r="27" spans="1:28" ht="66">
      <c r="A27" s="43" t="s">
        <v>76</v>
      </c>
      <c r="B27" s="20"/>
      <c r="C27" s="43">
        <v>100</v>
      </c>
      <c r="D27" s="43">
        <v>100</v>
      </c>
      <c r="E27" s="44">
        <v>30</v>
      </c>
      <c r="F27" s="44">
        <v>30</v>
      </c>
      <c r="G27" s="44"/>
      <c r="H27" s="44"/>
      <c r="I27" s="37">
        <v>30</v>
      </c>
      <c r="J27" s="38"/>
      <c r="K27" s="39">
        <v>30</v>
      </c>
      <c r="L27" s="28">
        <f aca="true" t="shared" si="4" ref="L27:L34">I27/E27*100</f>
        <v>100</v>
      </c>
      <c r="M27" s="18"/>
      <c r="N27" s="34">
        <v>106.3</v>
      </c>
      <c r="O27" s="35">
        <f>H27-N27</f>
        <v>-106.3</v>
      </c>
      <c r="P27" s="34"/>
      <c r="Q27" s="34"/>
      <c r="R27" s="35"/>
      <c r="S27" s="29">
        <f t="shared" si="2"/>
        <v>100</v>
      </c>
      <c r="T27" s="11"/>
      <c r="U27" s="46"/>
      <c r="V27" s="26"/>
      <c r="W27" s="12"/>
      <c r="AB27" s="2"/>
    </row>
    <row r="28" spans="1:28" ht="66">
      <c r="A28" s="43" t="s">
        <v>69</v>
      </c>
      <c r="B28" s="20"/>
      <c r="C28" s="43"/>
      <c r="D28" s="43"/>
      <c r="E28" s="44">
        <v>577.6</v>
      </c>
      <c r="F28" s="44">
        <v>0</v>
      </c>
      <c r="G28" s="44"/>
      <c r="H28" s="44"/>
      <c r="I28" s="37">
        <v>577.6</v>
      </c>
      <c r="J28" s="38"/>
      <c r="K28" s="39">
        <v>0</v>
      </c>
      <c r="L28" s="28">
        <f t="shared" si="4"/>
        <v>100</v>
      </c>
      <c r="M28" s="18"/>
      <c r="N28" s="35"/>
      <c r="O28" s="35"/>
      <c r="P28" s="34"/>
      <c r="Q28" s="34"/>
      <c r="R28" s="35"/>
      <c r="S28" s="29">
        <v>0</v>
      </c>
      <c r="T28" s="11"/>
      <c r="U28" s="46"/>
      <c r="V28" s="26"/>
      <c r="W28" s="12"/>
      <c r="AB28" s="2"/>
    </row>
    <row r="29" spans="1:28" ht="33">
      <c r="A29" s="43" t="s">
        <v>71</v>
      </c>
      <c r="B29" s="20"/>
      <c r="C29" s="43"/>
      <c r="D29" s="43"/>
      <c r="E29" s="44">
        <v>105.4</v>
      </c>
      <c r="F29" s="44">
        <v>21.1</v>
      </c>
      <c r="G29" s="44"/>
      <c r="H29" s="44"/>
      <c r="I29" s="37">
        <v>105.4</v>
      </c>
      <c r="J29" s="38"/>
      <c r="K29" s="39">
        <v>21.1</v>
      </c>
      <c r="L29" s="28">
        <f t="shared" si="4"/>
        <v>100</v>
      </c>
      <c r="M29" s="18"/>
      <c r="N29" s="35"/>
      <c r="O29" s="35"/>
      <c r="P29" s="34"/>
      <c r="Q29" s="34"/>
      <c r="R29" s="35"/>
      <c r="S29" s="29">
        <f t="shared" si="2"/>
        <v>100</v>
      </c>
      <c r="T29" s="11"/>
      <c r="U29" s="46"/>
      <c r="V29" s="26"/>
      <c r="W29" s="12"/>
      <c r="AB29" s="2"/>
    </row>
    <row r="30" spans="1:28" ht="99">
      <c r="A30" s="43" t="s">
        <v>70</v>
      </c>
      <c r="B30" s="20"/>
      <c r="C30" s="43"/>
      <c r="D30" s="43"/>
      <c r="E30" s="44">
        <v>599.6</v>
      </c>
      <c r="F30" s="44">
        <v>0</v>
      </c>
      <c r="G30" s="44"/>
      <c r="H30" s="44"/>
      <c r="I30" s="37">
        <v>599.6</v>
      </c>
      <c r="J30" s="38"/>
      <c r="K30" s="39">
        <v>0</v>
      </c>
      <c r="L30" s="28">
        <f t="shared" si="4"/>
        <v>100</v>
      </c>
      <c r="M30" s="18"/>
      <c r="N30" s="35"/>
      <c r="O30" s="35"/>
      <c r="P30" s="34"/>
      <c r="Q30" s="34"/>
      <c r="R30" s="35"/>
      <c r="S30" s="29">
        <v>0</v>
      </c>
      <c r="T30" s="11"/>
      <c r="U30" s="46"/>
      <c r="V30" s="26"/>
      <c r="W30" s="12"/>
      <c r="AB30" s="2"/>
    </row>
    <row r="31" spans="1:28" ht="66">
      <c r="A31" s="43" t="s">
        <v>72</v>
      </c>
      <c r="B31" s="20"/>
      <c r="C31" s="43"/>
      <c r="D31" s="43"/>
      <c r="E31" s="44">
        <v>43.1</v>
      </c>
      <c r="F31" s="44">
        <v>43.1</v>
      </c>
      <c r="G31" s="44"/>
      <c r="H31" s="44"/>
      <c r="I31" s="37">
        <v>43.1</v>
      </c>
      <c r="J31" s="38"/>
      <c r="K31" s="39">
        <v>43.1</v>
      </c>
      <c r="L31" s="28">
        <f t="shared" si="4"/>
        <v>100</v>
      </c>
      <c r="M31" s="18"/>
      <c r="N31" s="35"/>
      <c r="O31" s="35"/>
      <c r="P31" s="34"/>
      <c r="Q31" s="34"/>
      <c r="R31" s="35"/>
      <c r="S31" s="29">
        <f t="shared" si="2"/>
        <v>100</v>
      </c>
      <c r="T31" s="11"/>
      <c r="U31" s="46"/>
      <c r="V31" s="26"/>
      <c r="W31" s="12"/>
      <c r="AB31" s="2"/>
    </row>
    <row r="32" spans="1:28" ht="33">
      <c r="A32" s="43" t="s">
        <v>68</v>
      </c>
      <c r="B32" s="20"/>
      <c r="C32" s="43"/>
      <c r="D32" s="43"/>
      <c r="E32" s="44">
        <v>1386.2</v>
      </c>
      <c r="F32" s="44">
        <v>0</v>
      </c>
      <c r="G32" s="44"/>
      <c r="H32" s="44"/>
      <c r="I32" s="37">
        <v>1386.2</v>
      </c>
      <c r="J32" s="38"/>
      <c r="K32" s="39">
        <v>0</v>
      </c>
      <c r="L32" s="28">
        <f t="shared" si="4"/>
        <v>100</v>
      </c>
      <c r="M32" s="18"/>
      <c r="N32" s="35"/>
      <c r="O32" s="35"/>
      <c r="P32" s="34"/>
      <c r="Q32" s="34"/>
      <c r="R32" s="35"/>
      <c r="S32" s="29">
        <v>0</v>
      </c>
      <c r="T32" s="11"/>
      <c r="U32" s="46"/>
      <c r="V32" s="26"/>
      <c r="W32" s="12"/>
      <c r="AB32" s="2"/>
    </row>
    <row r="33" spans="1:28" ht="99">
      <c r="A33" s="26" t="s">
        <v>7</v>
      </c>
      <c r="B33" s="26">
        <f>B35+B36</f>
        <v>423</v>
      </c>
      <c r="C33" s="26">
        <f>C35+C36+C37</f>
        <v>1120.2</v>
      </c>
      <c r="D33" s="26">
        <f>D35+D36+D37</f>
        <v>1120.2</v>
      </c>
      <c r="E33" s="27">
        <f aca="true" t="shared" si="5" ref="E33:K33">E35+E36+E37+E34</f>
        <v>950</v>
      </c>
      <c r="F33" s="27">
        <f t="shared" si="5"/>
        <v>884.5</v>
      </c>
      <c r="G33" s="27">
        <f t="shared" si="5"/>
        <v>0</v>
      </c>
      <c r="H33" s="27">
        <f t="shared" si="5"/>
        <v>0</v>
      </c>
      <c r="I33" s="27">
        <f t="shared" si="5"/>
        <v>950</v>
      </c>
      <c r="J33" s="27">
        <f t="shared" si="5"/>
        <v>0</v>
      </c>
      <c r="K33" s="27">
        <f t="shared" si="5"/>
        <v>884.5</v>
      </c>
      <c r="L33" s="28">
        <f t="shared" si="4"/>
        <v>100</v>
      </c>
      <c r="M33" s="18"/>
      <c r="N33" s="29">
        <f>N35+N36</f>
        <v>812.7</v>
      </c>
      <c r="O33" s="35">
        <f>H33-N33</f>
        <v>-812.7</v>
      </c>
      <c r="P33" s="26">
        <f>P35+P36</f>
        <v>0</v>
      </c>
      <c r="Q33" s="26"/>
      <c r="R33" s="29"/>
      <c r="S33" s="29">
        <f>K33/F33*100</f>
        <v>100</v>
      </c>
      <c r="T33" s="6"/>
      <c r="U33" s="27"/>
      <c r="V33" s="26"/>
      <c r="W33" s="5">
        <f>W35+W36+W37+W34</f>
        <v>0</v>
      </c>
      <c r="AB33" s="2"/>
    </row>
    <row r="34" spans="1:28" ht="33">
      <c r="A34" s="48" t="s">
        <v>52</v>
      </c>
      <c r="B34" s="26"/>
      <c r="C34" s="26"/>
      <c r="D34" s="26"/>
      <c r="E34" s="32">
        <v>50</v>
      </c>
      <c r="F34" s="32">
        <v>50</v>
      </c>
      <c r="G34" s="32"/>
      <c r="H34" s="32"/>
      <c r="I34" s="32">
        <v>50</v>
      </c>
      <c r="J34" s="49"/>
      <c r="K34" s="50">
        <v>50</v>
      </c>
      <c r="L34" s="28">
        <f t="shared" si="4"/>
        <v>100</v>
      </c>
      <c r="M34" s="18"/>
      <c r="N34" s="29"/>
      <c r="O34" s="35"/>
      <c r="P34" s="26"/>
      <c r="Q34" s="26"/>
      <c r="R34" s="29"/>
      <c r="S34" s="29">
        <f aca="true" t="shared" si="6" ref="S34:S46">K34/F34*100</f>
        <v>100</v>
      </c>
      <c r="T34" s="13"/>
      <c r="U34" s="51"/>
      <c r="V34" s="26"/>
      <c r="W34" s="14"/>
      <c r="AB34" s="2"/>
    </row>
    <row r="35" spans="1:28" ht="33" customHeight="1" hidden="1">
      <c r="A35" s="48"/>
      <c r="B35" s="20"/>
      <c r="C35" s="52"/>
      <c r="D35" s="52"/>
      <c r="E35" s="53"/>
      <c r="F35" s="53"/>
      <c r="G35" s="53"/>
      <c r="H35" s="53"/>
      <c r="I35" s="37"/>
      <c r="J35" s="38"/>
      <c r="K35" s="39"/>
      <c r="L35" s="28"/>
      <c r="M35" s="18"/>
      <c r="N35" s="34">
        <v>500</v>
      </c>
      <c r="O35" s="35">
        <f>H35-N35</f>
        <v>-500</v>
      </c>
      <c r="P35" s="34"/>
      <c r="Q35" s="34"/>
      <c r="R35" s="35"/>
      <c r="S35" s="29" t="e">
        <f t="shared" si="6"/>
        <v>#DIV/0!</v>
      </c>
      <c r="T35" s="11"/>
      <c r="U35" s="46"/>
      <c r="V35" s="26"/>
      <c r="W35" s="12"/>
      <c r="AB35" s="2"/>
    </row>
    <row r="36" spans="1:28" ht="165">
      <c r="A36" s="48" t="s">
        <v>50</v>
      </c>
      <c r="B36" s="20">
        <v>423</v>
      </c>
      <c r="C36" s="52">
        <v>295.7</v>
      </c>
      <c r="D36" s="52">
        <v>295.7</v>
      </c>
      <c r="E36" s="53">
        <f>40+65.5</f>
        <v>105.5</v>
      </c>
      <c r="F36" s="53">
        <v>40</v>
      </c>
      <c r="G36" s="53"/>
      <c r="H36" s="53"/>
      <c r="I36" s="37">
        <f>40+65.5</f>
        <v>105.5</v>
      </c>
      <c r="J36" s="38"/>
      <c r="K36" s="39">
        <v>40</v>
      </c>
      <c r="L36" s="28">
        <f aca="true" t="shared" si="7" ref="L36:L44">I36/E36*100</f>
        <v>100</v>
      </c>
      <c r="M36" s="18"/>
      <c r="N36" s="54">
        <v>312.7</v>
      </c>
      <c r="O36" s="35">
        <f>H36-N36</f>
        <v>-312.7</v>
      </c>
      <c r="P36" s="34"/>
      <c r="Q36" s="34"/>
      <c r="R36" s="35"/>
      <c r="S36" s="29">
        <f t="shared" si="6"/>
        <v>100</v>
      </c>
      <c r="T36" s="11"/>
      <c r="U36" s="46"/>
      <c r="V36" s="26"/>
      <c r="W36" s="12"/>
      <c r="AB36" s="2"/>
    </row>
    <row r="37" spans="1:28" ht="33">
      <c r="A37" s="48" t="s">
        <v>51</v>
      </c>
      <c r="B37" s="20"/>
      <c r="C37" s="52">
        <v>824.5</v>
      </c>
      <c r="D37" s="52">
        <v>824.5</v>
      </c>
      <c r="E37" s="53">
        <v>794.5</v>
      </c>
      <c r="F37" s="53">
        <v>794.5</v>
      </c>
      <c r="G37" s="53"/>
      <c r="H37" s="53"/>
      <c r="I37" s="37">
        <v>794.5</v>
      </c>
      <c r="J37" s="38"/>
      <c r="K37" s="39">
        <v>794.5</v>
      </c>
      <c r="L37" s="28">
        <f t="shared" si="7"/>
        <v>100</v>
      </c>
      <c r="M37" s="18"/>
      <c r="N37" s="55"/>
      <c r="O37" s="35"/>
      <c r="P37" s="34"/>
      <c r="Q37" s="34"/>
      <c r="R37" s="35"/>
      <c r="S37" s="29">
        <f t="shared" si="6"/>
        <v>100</v>
      </c>
      <c r="T37" s="11"/>
      <c r="U37" s="46"/>
      <c r="V37" s="26"/>
      <c r="W37" s="12"/>
      <c r="AB37" s="2"/>
    </row>
    <row r="38" spans="1:28" ht="33">
      <c r="A38" s="26" t="s">
        <v>8</v>
      </c>
      <c r="B38" s="26" t="e">
        <f>#REF!+B39+B40+B41+#REF!+#REF!+B43+B45</f>
        <v>#REF!</v>
      </c>
      <c r="C38" s="56">
        <f>SUM(C39:C45)</f>
        <v>33347.6</v>
      </c>
      <c r="D38" s="56">
        <f>SUM(D39:D45)</f>
        <v>12447.6</v>
      </c>
      <c r="E38" s="28">
        <f>E39+E40+E41+E42+E43+E44+E45+E46+E47+E48</f>
        <v>38127.200000000004</v>
      </c>
      <c r="F38" s="28">
        <f aca="true" t="shared" si="8" ref="F38:K38">F39+F40+F41+F42+F43+F44+F45+F46+F47+F48</f>
        <v>29404.699999999997</v>
      </c>
      <c r="G38" s="28">
        <f t="shared" si="8"/>
        <v>0</v>
      </c>
      <c r="H38" s="28">
        <f t="shared" si="8"/>
        <v>0</v>
      </c>
      <c r="I38" s="28">
        <f t="shared" si="8"/>
        <v>38084.700000000004</v>
      </c>
      <c r="J38" s="28">
        <f t="shared" si="8"/>
        <v>0</v>
      </c>
      <c r="K38" s="28">
        <f t="shared" si="8"/>
        <v>29362.199999999997</v>
      </c>
      <c r="L38" s="28">
        <f t="shared" si="7"/>
        <v>99.88853102247215</v>
      </c>
      <c r="M38" s="18"/>
      <c r="N38" s="57">
        <f>SUM(N39:N45)</f>
        <v>7555.799999999999</v>
      </c>
      <c r="O38" s="35">
        <f>H38-N38</f>
        <v>-7555.799999999999</v>
      </c>
      <c r="P38" s="56">
        <f>SUM(P39:P45)</f>
        <v>1453.4</v>
      </c>
      <c r="Q38" s="26">
        <f>Q39+Q41</f>
        <v>1145.8</v>
      </c>
      <c r="R38" s="29">
        <f>R39</f>
        <v>207.4</v>
      </c>
      <c r="S38" s="73">
        <f t="shared" si="6"/>
        <v>99.85546528276092</v>
      </c>
      <c r="T38" s="6"/>
      <c r="U38" s="58"/>
      <c r="V38" s="26"/>
      <c r="W38" s="15">
        <f>W39+W40+W41+W42+W43+W44+W45+W46+W47</f>
        <v>0</v>
      </c>
      <c r="AB38" s="2"/>
    </row>
    <row r="39" spans="1:28" ht="33">
      <c r="A39" s="48" t="s">
        <v>32</v>
      </c>
      <c r="B39" s="20">
        <v>3238.5</v>
      </c>
      <c r="C39" s="52">
        <v>23811.5</v>
      </c>
      <c r="D39" s="52">
        <v>2911.5</v>
      </c>
      <c r="E39" s="53">
        <v>28032</v>
      </c>
      <c r="F39" s="53">
        <v>19309.5</v>
      </c>
      <c r="G39" s="53"/>
      <c r="H39" s="53"/>
      <c r="I39" s="37">
        <v>27989.5</v>
      </c>
      <c r="J39" s="38"/>
      <c r="K39" s="39">
        <v>19267</v>
      </c>
      <c r="L39" s="28">
        <f t="shared" si="7"/>
        <v>99.84838755707763</v>
      </c>
      <c r="M39" s="18"/>
      <c r="N39" s="34">
        <v>3176.4</v>
      </c>
      <c r="O39" s="35">
        <f>H39-N39</f>
        <v>-3176.4</v>
      </c>
      <c r="P39" s="34">
        <v>62.1</v>
      </c>
      <c r="Q39" s="34">
        <v>676.9</v>
      </c>
      <c r="R39" s="35">
        <v>207.4</v>
      </c>
      <c r="S39" s="73">
        <f t="shared" si="6"/>
        <v>99.77990108495818</v>
      </c>
      <c r="T39" s="10"/>
      <c r="U39" s="36"/>
      <c r="V39" s="26"/>
      <c r="W39" s="9"/>
      <c r="AB39" s="2"/>
    </row>
    <row r="40" spans="1:28" ht="33">
      <c r="A40" s="43" t="s">
        <v>56</v>
      </c>
      <c r="B40" s="20">
        <v>2176.2</v>
      </c>
      <c r="C40" s="52">
        <v>2524.9</v>
      </c>
      <c r="D40" s="52">
        <v>2524.9</v>
      </c>
      <c r="E40" s="53">
        <v>4468.8</v>
      </c>
      <c r="F40" s="53">
        <v>4468.8</v>
      </c>
      <c r="G40" s="53"/>
      <c r="H40" s="53"/>
      <c r="I40" s="37">
        <v>4468.8</v>
      </c>
      <c r="J40" s="38"/>
      <c r="K40" s="39">
        <v>4468.8</v>
      </c>
      <c r="L40" s="28">
        <f t="shared" si="7"/>
        <v>100</v>
      </c>
      <c r="M40" s="18"/>
      <c r="N40" s="34">
        <f>2264.1+695.8-4.5</f>
        <v>2955.3999999999996</v>
      </c>
      <c r="O40" s="35">
        <f>H40-N40</f>
        <v>-2955.3999999999996</v>
      </c>
      <c r="P40" s="34">
        <v>691.3</v>
      </c>
      <c r="Q40" s="34"/>
      <c r="R40" s="35"/>
      <c r="S40" s="29">
        <f t="shared" si="6"/>
        <v>100</v>
      </c>
      <c r="T40" s="10"/>
      <c r="U40" s="36"/>
      <c r="V40" s="26"/>
      <c r="W40" s="9"/>
      <c r="AB40" s="2"/>
    </row>
    <row r="41" spans="1:28" ht="99">
      <c r="A41" s="48" t="s">
        <v>33</v>
      </c>
      <c r="B41" s="20">
        <v>1040.9</v>
      </c>
      <c r="C41" s="52">
        <v>1000</v>
      </c>
      <c r="D41" s="52">
        <v>1000</v>
      </c>
      <c r="E41" s="53">
        <v>182</v>
      </c>
      <c r="F41" s="53">
        <v>182</v>
      </c>
      <c r="G41" s="53"/>
      <c r="H41" s="53"/>
      <c r="I41" s="37">
        <v>182</v>
      </c>
      <c r="J41" s="38"/>
      <c r="K41" s="39">
        <v>182</v>
      </c>
      <c r="L41" s="28">
        <f t="shared" si="7"/>
        <v>100</v>
      </c>
      <c r="M41" s="18"/>
      <c r="N41" s="34">
        <v>1024</v>
      </c>
      <c r="O41" s="35">
        <f>H41-N41</f>
        <v>-1024</v>
      </c>
      <c r="P41" s="34"/>
      <c r="Q41" s="34">
        <v>468.9</v>
      </c>
      <c r="R41" s="35"/>
      <c r="S41" s="29">
        <f t="shared" si="6"/>
        <v>100</v>
      </c>
      <c r="T41" s="10"/>
      <c r="U41" s="36"/>
      <c r="V41" s="26"/>
      <c r="W41" s="9">
        <v>0</v>
      </c>
      <c r="AB41" s="2"/>
    </row>
    <row r="42" spans="1:28" ht="33">
      <c r="A42" s="48" t="s">
        <v>34</v>
      </c>
      <c r="B42" s="20"/>
      <c r="C42" s="52">
        <v>584.6</v>
      </c>
      <c r="D42" s="52">
        <v>584.6</v>
      </c>
      <c r="E42" s="53">
        <v>200</v>
      </c>
      <c r="F42" s="53">
        <v>200</v>
      </c>
      <c r="G42" s="53"/>
      <c r="H42" s="53"/>
      <c r="I42" s="37">
        <v>200</v>
      </c>
      <c r="J42" s="38"/>
      <c r="K42" s="39">
        <v>200</v>
      </c>
      <c r="L42" s="28">
        <f t="shared" si="7"/>
        <v>100</v>
      </c>
      <c r="M42" s="18"/>
      <c r="N42" s="34"/>
      <c r="O42" s="35"/>
      <c r="P42" s="34">
        <v>700</v>
      </c>
      <c r="Q42" s="34"/>
      <c r="R42" s="35"/>
      <c r="S42" s="29">
        <f t="shared" si="6"/>
        <v>100</v>
      </c>
      <c r="T42" s="11"/>
      <c r="U42" s="46"/>
      <c r="V42" s="26"/>
      <c r="W42" s="12"/>
      <c r="AB42" s="2"/>
    </row>
    <row r="43" spans="1:28" ht="33">
      <c r="A43" s="48" t="s">
        <v>35</v>
      </c>
      <c r="B43" s="20">
        <v>100</v>
      </c>
      <c r="C43" s="52">
        <v>500</v>
      </c>
      <c r="D43" s="52">
        <v>500</v>
      </c>
      <c r="E43" s="53">
        <v>550</v>
      </c>
      <c r="F43" s="53">
        <v>550</v>
      </c>
      <c r="G43" s="53"/>
      <c r="H43" s="53"/>
      <c r="I43" s="37">
        <v>550</v>
      </c>
      <c r="J43" s="38"/>
      <c r="K43" s="39">
        <v>550</v>
      </c>
      <c r="L43" s="28">
        <f t="shared" si="7"/>
        <v>100</v>
      </c>
      <c r="M43" s="18"/>
      <c r="N43" s="34">
        <v>100</v>
      </c>
      <c r="O43" s="35">
        <f>H43-N43</f>
        <v>-100</v>
      </c>
      <c r="P43" s="34"/>
      <c r="Q43" s="34"/>
      <c r="R43" s="35"/>
      <c r="S43" s="29">
        <f t="shared" si="6"/>
        <v>100</v>
      </c>
      <c r="T43" s="11"/>
      <c r="U43" s="46"/>
      <c r="V43" s="26"/>
      <c r="W43" s="12"/>
      <c r="AB43" s="2"/>
    </row>
    <row r="44" spans="1:28" ht="66">
      <c r="A44" s="43" t="s">
        <v>36</v>
      </c>
      <c r="B44" s="20">
        <v>4564.8</v>
      </c>
      <c r="C44" s="43">
        <v>4926.6</v>
      </c>
      <c r="D44" s="43">
        <v>4926.6</v>
      </c>
      <c r="E44" s="44">
        <v>4494.4</v>
      </c>
      <c r="F44" s="44">
        <v>4494.4</v>
      </c>
      <c r="G44" s="44"/>
      <c r="H44" s="44"/>
      <c r="I44" s="37">
        <v>4494.4</v>
      </c>
      <c r="J44" s="38"/>
      <c r="K44" s="39">
        <v>4494.4</v>
      </c>
      <c r="L44" s="28">
        <f t="shared" si="7"/>
        <v>100</v>
      </c>
      <c r="M44" s="18"/>
      <c r="N44" s="34"/>
      <c r="O44" s="35"/>
      <c r="P44" s="34"/>
      <c r="Q44" s="34"/>
      <c r="R44" s="35"/>
      <c r="S44" s="29">
        <f t="shared" si="6"/>
        <v>100</v>
      </c>
      <c r="T44" s="10"/>
      <c r="U44" s="36"/>
      <c r="V44" s="26"/>
      <c r="W44" s="9">
        <v>0</v>
      </c>
      <c r="AB44" s="2"/>
    </row>
    <row r="45" spans="1:28" ht="33" customHeight="1" hidden="1">
      <c r="A45" s="42"/>
      <c r="B45" s="20"/>
      <c r="C45" s="52"/>
      <c r="D45" s="52"/>
      <c r="E45" s="53"/>
      <c r="F45" s="53"/>
      <c r="G45" s="53"/>
      <c r="H45" s="53"/>
      <c r="I45" s="37"/>
      <c r="J45" s="38"/>
      <c r="K45" s="39"/>
      <c r="L45" s="28"/>
      <c r="M45" s="18"/>
      <c r="N45" s="34">
        <v>300</v>
      </c>
      <c r="O45" s="35">
        <f>H45-N45</f>
        <v>-300</v>
      </c>
      <c r="P45" s="34"/>
      <c r="Q45" s="34"/>
      <c r="R45" s="35"/>
      <c r="S45" s="29" t="e">
        <f t="shared" si="6"/>
        <v>#DIV/0!</v>
      </c>
      <c r="T45" s="11"/>
      <c r="U45" s="46"/>
      <c r="V45" s="26"/>
      <c r="W45" s="12"/>
      <c r="AB45" s="2"/>
    </row>
    <row r="46" spans="1:28" ht="66">
      <c r="A46" s="42" t="s">
        <v>63</v>
      </c>
      <c r="B46" s="20"/>
      <c r="C46" s="52"/>
      <c r="D46" s="52"/>
      <c r="E46" s="53">
        <v>200</v>
      </c>
      <c r="F46" s="53">
        <v>200</v>
      </c>
      <c r="G46" s="53"/>
      <c r="H46" s="53"/>
      <c r="I46" s="37">
        <v>200</v>
      </c>
      <c r="J46" s="38"/>
      <c r="K46" s="39">
        <v>200</v>
      </c>
      <c r="L46" s="28">
        <f>I46/E46*100</f>
        <v>100</v>
      </c>
      <c r="M46" s="18"/>
      <c r="N46" s="34"/>
      <c r="O46" s="35"/>
      <c r="P46" s="34"/>
      <c r="Q46" s="34"/>
      <c r="R46" s="35"/>
      <c r="S46" s="29">
        <f t="shared" si="6"/>
        <v>100</v>
      </c>
      <c r="T46" s="11"/>
      <c r="U46" s="46"/>
      <c r="V46" s="26"/>
      <c r="W46" s="12"/>
      <c r="AB46" s="2"/>
    </row>
    <row r="47" spans="1:28" ht="33">
      <c r="A47" s="42"/>
      <c r="B47" s="20"/>
      <c r="C47" s="52"/>
      <c r="D47" s="52"/>
      <c r="E47" s="53"/>
      <c r="F47" s="53"/>
      <c r="G47" s="53"/>
      <c r="H47" s="53"/>
      <c r="I47" s="37"/>
      <c r="J47" s="38"/>
      <c r="K47" s="39"/>
      <c r="L47" s="28"/>
      <c r="M47" s="18"/>
      <c r="N47" s="34"/>
      <c r="O47" s="35"/>
      <c r="P47" s="34"/>
      <c r="Q47" s="34"/>
      <c r="R47" s="35"/>
      <c r="S47" s="35"/>
      <c r="T47" s="11"/>
      <c r="U47" s="46"/>
      <c r="V47" s="26"/>
      <c r="W47" s="12"/>
      <c r="AB47" s="2"/>
    </row>
    <row r="48" spans="1:28" ht="33" customHeight="1" hidden="1">
      <c r="A48" s="42"/>
      <c r="B48" s="20"/>
      <c r="C48" s="52"/>
      <c r="D48" s="52"/>
      <c r="E48" s="53"/>
      <c r="F48" s="53"/>
      <c r="G48" s="53"/>
      <c r="H48" s="53"/>
      <c r="I48" s="37"/>
      <c r="J48" s="38"/>
      <c r="K48" s="39"/>
      <c r="L48" s="28"/>
      <c r="M48" s="18"/>
      <c r="N48" s="34"/>
      <c r="O48" s="35"/>
      <c r="P48" s="34"/>
      <c r="Q48" s="34"/>
      <c r="R48" s="35"/>
      <c r="S48" s="35"/>
      <c r="T48" s="11"/>
      <c r="U48" s="46"/>
      <c r="V48" s="26"/>
      <c r="W48" s="12"/>
      <c r="AB48" s="2"/>
    </row>
    <row r="49" spans="1:28" ht="66">
      <c r="A49" s="26" t="s">
        <v>9</v>
      </c>
      <c r="B49" s="26" t="e">
        <f>B50+#REF!+#REF!+#REF!+#REF!+#REF!+#REF!</f>
        <v>#REF!</v>
      </c>
      <c r="C49" s="26" t="e">
        <f>#REF!+C50+#REF!+#REF!</f>
        <v>#REF!</v>
      </c>
      <c r="D49" s="26" t="e">
        <f>#REF!+D50+#REF!+#REF!</f>
        <v>#REF!</v>
      </c>
      <c r="E49" s="27">
        <f>SUM(E50:E60)</f>
        <v>197217.69999999998</v>
      </c>
      <c r="F49" s="27">
        <f aca="true" t="shared" si="9" ref="F49:K49">SUM(F50:F60)</f>
        <v>19998.500000000004</v>
      </c>
      <c r="G49" s="27">
        <f t="shared" si="9"/>
        <v>0</v>
      </c>
      <c r="H49" s="27">
        <f t="shared" si="9"/>
        <v>0</v>
      </c>
      <c r="I49" s="27">
        <f t="shared" si="9"/>
        <v>136111.3</v>
      </c>
      <c r="J49" s="27">
        <f t="shared" si="9"/>
        <v>0</v>
      </c>
      <c r="K49" s="27">
        <f t="shared" si="9"/>
        <v>19998.500000000004</v>
      </c>
      <c r="L49" s="28">
        <f>I49/E49*100</f>
        <v>69.0157627839692</v>
      </c>
      <c r="M49" s="18"/>
      <c r="N49" s="26" t="e">
        <f>N50+#REF!+#REF!+#REF!+#REF!+#REF!+#REF!+#REF!+#REF!+#REF!+#REF!</f>
        <v>#REF!</v>
      </c>
      <c r="O49" s="35" t="e">
        <f>H49-N49</f>
        <v>#REF!</v>
      </c>
      <c r="P49" s="34"/>
      <c r="Q49" s="26">
        <f>Q50+Q53+281.1</f>
        <v>2741</v>
      </c>
      <c r="R49" s="29">
        <f>R50</f>
        <v>2459.9</v>
      </c>
      <c r="S49" s="73">
        <f>K49/F49*100</f>
        <v>100</v>
      </c>
      <c r="T49" s="6"/>
      <c r="U49" s="27"/>
      <c r="V49" s="26"/>
      <c r="W49" s="5">
        <f>SUM(W50:W59)</f>
        <v>0</v>
      </c>
      <c r="AB49" s="2"/>
    </row>
    <row r="50" spans="1:28" ht="33">
      <c r="A50" s="48"/>
      <c r="B50" s="20">
        <v>34430</v>
      </c>
      <c r="C50" s="52">
        <v>17500</v>
      </c>
      <c r="D50" s="52">
        <v>0</v>
      </c>
      <c r="E50" s="53"/>
      <c r="F50" s="53"/>
      <c r="G50" s="53"/>
      <c r="H50" s="53"/>
      <c r="I50" s="37"/>
      <c r="J50" s="38"/>
      <c r="K50" s="39"/>
      <c r="L50" s="28"/>
      <c r="M50" s="18"/>
      <c r="N50" s="34">
        <v>0</v>
      </c>
      <c r="O50" s="35">
        <f>H50-N50</f>
        <v>0</v>
      </c>
      <c r="P50" s="34"/>
      <c r="Q50" s="34">
        <v>2459.9</v>
      </c>
      <c r="R50" s="35">
        <v>2459.9</v>
      </c>
      <c r="S50" s="29"/>
      <c r="T50" s="11"/>
      <c r="U50" s="46"/>
      <c r="V50" s="26"/>
      <c r="W50" s="12"/>
      <c r="AB50" s="2"/>
    </row>
    <row r="51" spans="1:28" ht="33" customHeight="1" hidden="1">
      <c r="A51" s="48"/>
      <c r="B51" s="20"/>
      <c r="C51" s="52"/>
      <c r="D51" s="52"/>
      <c r="E51" s="53"/>
      <c r="F51" s="53"/>
      <c r="G51" s="53"/>
      <c r="H51" s="53"/>
      <c r="I51" s="37"/>
      <c r="J51" s="38"/>
      <c r="K51" s="39"/>
      <c r="L51" s="28"/>
      <c r="M51" s="18"/>
      <c r="N51" s="34"/>
      <c r="O51" s="35"/>
      <c r="P51" s="34"/>
      <c r="Q51" s="34"/>
      <c r="R51" s="35"/>
      <c r="S51" s="29" t="e">
        <f aca="true" t="shared" si="10" ref="S51:S59">K51/F51*100</f>
        <v>#DIV/0!</v>
      </c>
      <c r="T51" s="11"/>
      <c r="U51" s="46"/>
      <c r="V51" s="26"/>
      <c r="W51" s="12"/>
      <c r="AB51" s="2"/>
    </row>
    <row r="52" spans="1:28" ht="66">
      <c r="A52" s="48" t="s">
        <v>84</v>
      </c>
      <c r="B52" s="20"/>
      <c r="C52" s="52"/>
      <c r="D52" s="52"/>
      <c r="E52" s="53">
        <v>378.8</v>
      </c>
      <c r="F52" s="53">
        <v>378.8</v>
      </c>
      <c r="G52" s="53"/>
      <c r="H52" s="53"/>
      <c r="I52" s="37">
        <v>378.8</v>
      </c>
      <c r="J52" s="38"/>
      <c r="K52" s="39">
        <v>378.8</v>
      </c>
      <c r="L52" s="28">
        <f>I52/E52*100</f>
        <v>100</v>
      </c>
      <c r="M52" s="18"/>
      <c r="N52" s="34"/>
      <c r="O52" s="35"/>
      <c r="P52" s="34"/>
      <c r="Q52" s="34"/>
      <c r="R52" s="35"/>
      <c r="S52" s="29">
        <f t="shared" si="10"/>
        <v>100</v>
      </c>
      <c r="T52" s="11"/>
      <c r="U52" s="46"/>
      <c r="V52" s="26"/>
      <c r="W52" s="12"/>
      <c r="AB52" s="2"/>
    </row>
    <row r="53" spans="1:28" ht="33" customHeight="1" hidden="1">
      <c r="A53" s="48"/>
      <c r="B53" s="20"/>
      <c r="C53" s="52"/>
      <c r="D53" s="52"/>
      <c r="E53" s="53"/>
      <c r="F53" s="53"/>
      <c r="G53" s="53"/>
      <c r="H53" s="53"/>
      <c r="I53" s="37"/>
      <c r="J53" s="38"/>
      <c r="K53" s="39"/>
      <c r="L53" s="28"/>
      <c r="M53" s="18"/>
      <c r="N53" s="34"/>
      <c r="O53" s="35"/>
      <c r="P53" s="34"/>
      <c r="Q53" s="34"/>
      <c r="R53" s="35"/>
      <c r="S53" s="29" t="e">
        <f t="shared" si="10"/>
        <v>#DIV/0!</v>
      </c>
      <c r="T53" s="11"/>
      <c r="U53" s="46"/>
      <c r="V53" s="26"/>
      <c r="W53" s="12"/>
      <c r="AB53" s="2"/>
    </row>
    <row r="54" spans="1:28" ht="99">
      <c r="A54" s="48" t="s">
        <v>64</v>
      </c>
      <c r="B54" s="20"/>
      <c r="C54" s="52"/>
      <c r="D54" s="52"/>
      <c r="E54" s="53">
        <v>16069.6</v>
      </c>
      <c r="F54" s="53">
        <v>16069.6</v>
      </c>
      <c r="G54" s="53"/>
      <c r="H54" s="53"/>
      <c r="I54" s="37">
        <v>16069.6</v>
      </c>
      <c r="J54" s="38"/>
      <c r="K54" s="39">
        <v>16069.6</v>
      </c>
      <c r="L54" s="28">
        <f>I54/E54*100</f>
        <v>100</v>
      </c>
      <c r="M54" s="18"/>
      <c r="N54" s="34"/>
      <c r="O54" s="35"/>
      <c r="P54" s="34"/>
      <c r="Q54" s="34"/>
      <c r="R54" s="35"/>
      <c r="S54" s="29">
        <f t="shared" si="10"/>
        <v>100</v>
      </c>
      <c r="T54" s="11"/>
      <c r="U54" s="46"/>
      <c r="V54" s="26"/>
      <c r="W54" s="12"/>
      <c r="AB54" s="2"/>
    </row>
    <row r="55" spans="1:28" ht="33" customHeight="1" hidden="1">
      <c r="A55" s="48"/>
      <c r="B55" s="20"/>
      <c r="C55" s="52"/>
      <c r="D55" s="52"/>
      <c r="E55" s="53"/>
      <c r="F55" s="53"/>
      <c r="G55" s="53"/>
      <c r="H55" s="53"/>
      <c r="I55" s="37"/>
      <c r="J55" s="38"/>
      <c r="K55" s="39"/>
      <c r="L55" s="28"/>
      <c r="M55" s="18"/>
      <c r="N55" s="34"/>
      <c r="O55" s="35"/>
      <c r="P55" s="34"/>
      <c r="Q55" s="34"/>
      <c r="R55" s="35"/>
      <c r="S55" s="29" t="e">
        <f t="shared" si="10"/>
        <v>#DIV/0!</v>
      </c>
      <c r="T55" s="11"/>
      <c r="U55" s="46"/>
      <c r="V55" s="26"/>
      <c r="W55" s="12"/>
      <c r="AB55" s="2"/>
    </row>
    <row r="56" spans="1:28" ht="321" customHeight="1">
      <c r="A56" s="48" t="s">
        <v>77</v>
      </c>
      <c r="B56" s="20"/>
      <c r="C56" s="52"/>
      <c r="D56" s="52"/>
      <c r="E56" s="53">
        <v>178002.9</v>
      </c>
      <c r="F56" s="53">
        <v>783.7</v>
      </c>
      <c r="G56" s="53"/>
      <c r="H56" s="53"/>
      <c r="I56" s="37">
        <v>116896.5</v>
      </c>
      <c r="J56" s="38"/>
      <c r="K56" s="39">
        <v>783.7</v>
      </c>
      <c r="L56" s="28">
        <f>I56/E56*100</f>
        <v>65.67112108847665</v>
      </c>
      <c r="M56" s="18"/>
      <c r="N56" s="34"/>
      <c r="O56" s="35"/>
      <c r="P56" s="34"/>
      <c r="Q56" s="34"/>
      <c r="R56" s="35"/>
      <c r="S56" s="29">
        <f t="shared" si="10"/>
        <v>100</v>
      </c>
      <c r="T56" s="81" t="s">
        <v>85</v>
      </c>
      <c r="U56" s="46"/>
      <c r="V56" s="26"/>
      <c r="W56" s="12"/>
      <c r="AB56" s="2"/>
    </row>
    <row r="57" spans="1:28" ht="33" customHeight="1" hidden="1">
      <c r="A57" s="48"/>
      <c r="B57" s="20"/>
      <c r="C57" s="52"/>
      <c r="D57" s="52"/>
      <c r="E57" s="53"/>
      <c r="F57" s="53"/>
      <c r="G57" s="53"/>
      <c r="H57" s="53"/>
      <c r="I57" s="37"/>
      <c r="J57" s="38"/>
      <c r="K57" s="39"/>
      <c r="L57" s="28"/>
      <c r="M57" s="18"/>
      <c r="N57" s="34"/>
      <c r="O57" s="35"/>
      <c r="P57" s="34"/>
      <c r="Q57" s="34"/>
      <c r="R57" s="35"/>
      <c r="S57" s="29" t="e">
        <f t="shared" si="10"/>
        <v>#DIV/0!</v>
      </c>
      <c r="T57" s="81"/>
      <c r="U57" s="46"/>
      <c r="V57" s="26"/>
      <c r="W57" s="12"/>
      <c r="AB57" s="2"/>
    </row>
    <row r="58" spans="1:28" ht="36" customHeight="1" hidden="1">
      <c r="A58" s="48"/>
      <c r="B58" s="20"/>
      <c r="C58" s="52"/>
      <c r="D58" s="52"/>
      <c r="E58" s="53"/>
      <c r="F58" s="53"/>
      <c r="G58" s="53"/>
      <c r="H58" s="53"/>
      <c r="I58" s="37"/>
      <c r="J58" s="38"/>
      <c r="K58" s="39"/>
      <c r="L58" s="28"/>
      <c r="M58" s="18"/>
      <c r="N58" s="34"/>
      <c r="O58" s="35"/>
      <c r="P58" s="34"/>
      <c r="Q58" s="34"/>
      <c r="R58" s="35"/>
      <c r="S58" s="29" t="e">
        <f t="shared" si="10"/>
        <v>#DIV/0!</v>
      </c>
      <c r="T58" s="81"/>
      <c r="U58" s="46"/>
      <c r="V58" s="26"/>
      <c r="W58" s="12"/>
      <c r="AB58" s="2"/>
    </row>
    <row r="59" spans="1:28" ht="99">
      <c r="A59" s="48" t="s">
        <v>65</v>
      </c>
      <c r="B59" s="20"/>
      <c r="C59" s="52"/>
      <c r="D59" s="52"/>
      <c r="E59" s="53">
        <v>2766.4</v>
      </c>
      <c r="F59" s="53">
        <v>2766.4</v>
      </c>
      <c r="G59" s="53"/>
      <c r="H59" s="53"/>
      <c r="I59" s="37">
        <v>2766.4</v>
      </c>
      <c r="J59" s="38"/>
      <c r="K59" s="39">
        <v>2766.4</v>
      </c>
      <c r="L59" s="28">
        <f>I59/E59*100</f>
        <v>100</v>
      </c>
      <c r="M59" s="18"/>
      <c r="N59" s="34"/>
      <c r="O59" s="35"/>
      <c r="P59" s="34"/>
      <c r="Q59" s="34"/>
      <c r="R59" s="35"/>
      <c r="S59" s="29">
        <f t="shared" si="10"/>
        <v>100</v>
      </c>
      <c r="T59" s="11"/>
      <c r="U59" s="46"/>
      <c r="V59" s="26"/>
      <c r="W59" s="12"/>
      <c r="AB59" s="2"/>
    </row>
    <row r="60" spans="1:28" ht="33">
      <c r="A60" s="48"/>
      <c r="B60" s="20"/>
      <c r="C60" s="52"/>
      <c r="D60" s="52"/>
      <c r="E60" s="53"/>
      <c r="F60" s="53"/>
      <c r="G60" s="53"/>
      <c r="H60" s="53"/>
      <c r="I60" s="37"/>
      <c r="J60" s="38"/>
      <c r="K60" s="39"/>
      <c r="L60" s="28"/>
      <c r="M60" s="18"/>
      <c r="N60" s="34"/>
      <c r="O60" s="35"/>
      <c r="P60" s="34"/>
      <c r="Q60" s="34"/>
      <c r="R60" s="35"/>
      <c r="S60" s="29"/>
      <c r="T60" s="11"/>
      <c r="U60" s="46"/>
      <c r="V60" s="26"/>
      <c r="W60" s="12"/>
      <c r="AB60" s="2"/>
    </row>
    <row r="61" spans="1:28" ht="33">
      <c r="A61" s="59" t="s">
        <v>10</v>
      </c>
      <c r="B61" s="59" t="e">
        <f>B63+#REF!+#REF!</f>
        <v>#REF!</v>
      </c>
      <c r="C61" s="59" t="e">
        <f>C63+#REF!</f>
        <v>#REF!</v>
      </c>
      <c r="D61" s="59" t="e">
        <f>D63+#REF!</f>
        <v>#REF!</v>
      </c>
      <c r="E61" s="58">
        <f aca="true" t="shared" si="11" ref="E61:K61">E63</f>
        <v>645.2</v>
      </c>
      <c r="F61" s="58">
        <f t="shared" si="11"/>
        <v>645.2</v>
      </c>
      <c r="G61" s="58">
        <f t="shared" si="11"/>
        <v>0</v>
      </c>
      <c r="H61" s="58">
        <f t="shared" si="11"/>
        <v>0</v>
      </c>
      <c r="I61" s="58">
        <f t="shared" si="11"/>
        <v>645.2</v>
      </c>
      <c r="J61" s="58">
        <f t="shared" si="11"/>
        <v>0</v>
      </c>
      <c r="K61" s="58">
        <f t="shared" si="11"/>
        <v>645.2</v>
      </c>
      <c r="L61" s="28">
        <f>I61/E61*100</f>
        <v>100</v>
      </c>
      <c r="M61" s="18"/>
      <c r="N61" s="59" t="e">
        <f>N63+#REF!+#REF!</f>
        <v>#REF!</v>
      </c>
      <c r="O61" s="60" t="e">
        <f>O63+#REF!+#REF!</f>
        <v>#REF!</v>
      </c>
      <c r="P61" s="34"/>
      <c r="Q61" s="26"/>
      <c r="R61" s="29"/>
      <c r="S61" s="29">
        <f>K61/F61*100</f>
        <v>100</v>
      </c>
      <c r="T61" s="6"/>
      <c r="U61" s="58"/>
      <c r="V61" s="26"/>
      <c r="W61" s="15">
        <f>W63</f>
        <v>0</v>
      </c>
      <c r="AB61" s="2"/>
    </row>
    <row r="62" spans="1:28" ht="33">
      <c r="A62" s="34" t="s">
        <v>1</v>
      </c>
      <c r="B62" s="36"/>
      <c r="C62" s="34"/>
      <c r="D62" s="34"/>
      <c r="E62" s="37"/>
      <c r="F62" s="37"/>
      <c r="G62" s="37"/>
      <c r="H62" s="37"/>
      <c r="I62" s="37"/>
      <c r="J62" s="38"/>
      <c r="K62" s="39"/>
      <c r="L62" s="28"/>
      <c r="M62" s="18"/>
      <c r="N62" s="34"/>
      <c r="O62" s="35">
        <f>H62-N62</f>
        <v>0</v>
      </c>
      <c r="P62" s="34"/>
      <c r="Q62" s="34"/>
      <c r="R62" s="35"/>
      <c r="S62" s="29"/>
      <c r="T62" s="10"/>
      <c r="U62" s="36"/>
      <c r="V62" s="26"/>
      <c r="W62" s="9"/>
      <c r="AB62" s="2"/>
    </row>
    <row r="63" spans="1:28" ht="33">
      <c r="A63" s="43" t="s">
        <v>54</v>
      </c>
      <c r="B63" s="20">
        <v>1123.8</v>
      </c>
      <c r="C63" s="43">
        <v>1553.5</v>
      </c>
      <c r="D63" s="43">
        <v>1553.5</v>
      </c>
      <c r="E63" s="44">
        <v>645.2</v>
      </c>
      <c r="F63" s="44">
        <v>645.2</v>
      </c>
      <c r="G63" s="44"/>
      <c r="H63" s="44"/>
      <c r="I63" s="37">
        <v>645.2</v>
      </c>
      <c r="J63" s="38"/>
      <c r="K63" s="39">
        <v>645.2</v>
      </c>
      <c r="L63" s="28">
        <f>I63/E63*100</f>
        <v>100</v>
      </c>
      <c r="M63" s="18"/>
      <c r="N63" s="61">
        <v>1123.8</v>
      </c>
      <c r="O63" s="35">
        <f>H63-N63</f>
        <v>-1123.8</v>
      </c>
      <c r="P63" s="34"/>
      <c r="Q63" s="34"/>
      <c r="R63" s="35"/>
      <c r="S63" s="29">
        <f>K63/F63*100</f>
        <v>100</v>
      </c>
      <c r="T63" s="10"/>
      <c r="U63" s="36"/>
      <c r="V63" s="26"/>
      <c r="W63" s="9"/>
      <c r="AB63" s="2"/>
    </row>
    <row r="64" spans="1:28" ht="33">
      <c r="A64" s="26" t="s">
        <v>11</v>
      </c>
      <c r="B64" s="26">
        <f>B65+B66+B67+B68+B69+B70</f>
        <v>281312.3</v>
      </c>
      <c r="C64" s="26" t="e">
        <f>C65+C66+C67+C68+C69+C70+#REF!</f>
        <v>#REF!</v>
      </c>
      <c r="D64" s="26" t="e">
        <f>D65+D66+D67+D68+D69+D70+#REF!</f>
        <v>#REF!</v>
      </c>
      <c r="E64" s="27">
        <f>E65+E66+E67+E68+E69+E70</f>
        <v>387062.9</v>
      </c>
      <c r="F64" s="27">
        <f aca="true" t="shared" si="12" ref="F64:K64">F65+F66+F67+F68+F69+F70</f>
        <v>146434.6</v>
      </c>
      <c r="G64" s="27">
        <f t="shared" si="12"/>
        <v>0</v>
      </c>
      <c r="H64" s="27">
        <f t="shared" si="12"/>
        <v>0</v>
      </c>
      <c r="I64" s="27">
        <f t="shared" si="12"/>
        <v>387012.9</v>
      </c>
      <c r="J64" s="27">
        <f t="shared" si="12"/>
        <v>0</v>
      </c>
      <c r="K64" s="27">
        <f t="shared" si="12"/>
        <v>146434.6</v>
      </c>
      <c r="L64" s="28">
        <f>I64/E64*100</f>
        <v>99.98708220291844</v>
      </c>
      <c r="M64" s="18"/>
      <c r="N64" s="29">
        <f>N65+N66+N67+N68+N69+N70</f>
        <v>205398.6</v>
      </c>
      <c r="O64" s="29">
        <f>O65+O66+O67+O68+O69+O70</f>
        <v>-205398.6</v>
      </c>
      <c r="P64" s="26">
        <f>P65+P66+P67+P68+P69+P70</f>
        <v>5223.9</v>
      </c>
      <c r="Q64" s="26">
        <f>16556.9+Q70-734-483.3</f>
        <v>15352.600000000002</v>
      </c>
      <c r="R64" s="29">
        <v>13165.7</v>
      </c>
      <c r="S64" s="29">
        <f>K64/F64*100</f>
        <v>100</v>
      </c>
      <c r="T64" s="6"/>
      <c r="U64" s="27"/>
      <c r="V64" s="26"/>
      <c r="W64" s="5">
        <v>2985</v>
      </c>
      <c r="AB64" s="2"/>
    </row>
    <row r="65" spans="1:28" ht="66">
      <c r="A65" s="43" t="s">
        <v>12</v>
      </c>
      <c r="B65" s="20">
        <v>84999</v>
      </c>
      <c r="C65" s="43">
        <v>122493.1</v>
      </c>
      <c r="D65" s="43">
        <v>104718.2</v>
      </c>
      <c r="E65" s="44">
        <v>118060.7</v>
      </c>
      <c r="F65" s="44">
        <v>24765.1</v>
      </c>
      <c r="G65" s="44"/>
      <c r="H65" s="44"/>
      <c r="I65" s="37">
        <v>118060.7</v>
      </c>
      <c r="J65" s="38"/>
      <c r="K65" s="39">
        <v>24765.1</v>
      </c>
      <c r="L65" s="28">
        <f>I65/E65*100</f>
        <v>100</v>
      </c>
      <c r="M65" s="18"/>
      <c r="N65" s="61">
        <v>103584.8</v>
      </c>
      <c r="O65" s="35">
        <f aca="true" t="shared" si="13" ref="O65:O72">H65-N65</f>
        <v>-103584.8</v>
      </c>
      <c r="P65" s="34">
        <f>2683.1+2327.7</f>
        <v>5010.799999999999</v>
      </c>
      <c r="Q65" s="34"/>
      <c r="R65" s="35"/>
      <c r="S65" s="29">
        <f aca="true" t="shared" si="14" ref="S65:S70">K65/F65*100</f>
        <v>100</v>
      </c>
      <c r="T65" s="10"/>
      <c r="U65" s="36"/>
      <c r="V65" s="26"/>
      <c r="W65" s="9"/>
      <c r="AB65" s="2"/>
    </row>
    <row r="66" spans="1:28" ht="33">
      <c r="A66" s="43" t="s">
        <v>13</v>
      </c>
      <c r="B66" s="20">
        <v>174984.6</v>
      </c>
      <c r="C66" s="43">
        <f>236132.8-13926.6</f>
        <v>222206.19999999998</v>
      </c>
      <c r="D66" s="43">
        <f>66473.3-13926.6</f>
        <v>52546.700000000004</v>
      </c>
      <c r="E66" s="44">
        <v>245991.5</v>
      </c>
      <c r="F66" s="44">
        <v>98764.8</v>
      </c>
      <c r="G66" s="44"/>
      <c r="H66" s="44"/>
      <c r="I66" s="37">
        <v>245991.5</v>
      </c>
      <c r="J66" s="37"/>
      <c r="K66" s="39">
        <v>98764.8</v>
      </c>
      <c r="L66" s="28">
        <f>I66/E66*100</f>
        <v>100</v>
      </c>
      <c r="M66" s="18"/>
      <c r="N66" s="61">
        <v>61122.1</v>
      </c>
      <c r="O66" s="35">
        <f t="shared" si="13"/>
        <v>-61122.1</v>
      </c>
      <c r="P66" s="34"/>
      <c r="Q66" s="34"/>
      <c r="R66" s="35"/>
      <c r="S66" s="29">
        <f t="shared" si="14"/>
        <v>100</v>
      </c>
      <c r="T66" s="10"/>
      <c r="U66" s="36"/>
      <c r="V66" s="26"/>
      <c r="W66" s="9"/>
      <c r="AB66" s="2"/>
    </row>
    <row r="67" spans="1:28" ht="33" customHeight="1" hidden="1">
      <c r="A67" s="43"/>
      <c r="B67" s="20"/>
      <c r="C67" s="43"/>
      <c r="D67" s="43"/>
      <c r="E67" s="44"/>
      <c r="F67" s="44"/>
      <c r="G67" s="44"/>
      <c r="H67" s="44"/>
      <c r="I67" s="37"/>
      <c r="J67" s="38"/>
      <c r="K67" s="39"/>
      <c r="L67" s="28"/>
      <c r="M67" s="18"/>
      <c r="N67" s="61">
        <v>17319.2</v>
      </c>
      <c r="O67" s="35">
        <f t="shared" si="13"/>
        <v>-17319.2</v>
      </c>
      <c r="P67" s="34"/>
      <c r="Q67" s="34"/>
      <c r="R67" s="35"/>
      <c r="S67" s="29" t="e">
        <f t="shared" si="14"/>
        <v>#DIV/0!</v>
      </c>
      <c r="T67" s="10"/>
      <c r="U67" s="36"/>
      <c r="V67" s="26"/>
      <c r="W67" s="9"/>
      <c r="AB67" s="2"/>
    </row>
    <row r="68" spans="1:28" ht="33" customHeight="1" hidden="1">
      <c r="A68" s="43"/>
      <c r="B68" s="20"/>
      <c r="C68" s="43"/>
      <c r="D68" s="43"/>
      <c r="E68" s="44"/>
      <c r="F68" s="44"/>
      <c r="G68" s="44"/>
      <c r="H68" s="44"/>
      <c r="I68" s="37"/>
      <c r="J68" s="38"/>
      <c r="K68" s="39"/>
      <c r="L68" s="28"/>
      <c r="M68" s="18"/>
      <c r="N68" s="34">
        <v>9804.1</v>
      </c>
      <c r="O68" s="35">
        <f t="shared" si="13"/>
        <v>-9804.1</v>
      </c>
      <c r="P68" s="34">
        <v>213.1</v>
      </c>
      <c r="Q68" s="34"/>
      <c r="R68" s="35"/>
      <c r="S68" s="29" t="e">
        <f t="shared" si="14"/>
        <v>#DIV/0!</v>
      </c>
      <c r="T68" s="10"/>
      <c r="U68" s="36"/>
      <c r="V68" s="26"/>
      <c r="W68" s="9"/>
      <c r="AB68" s="2"/>
    </row>
    <row r="69" spans="1:28" ht="66">
      <c r="A69" s="43" t="s">
        <v>66</v>
      </c>
      <c r="B69" s="20">
        <v>9867.6</v>
      </c>
      <c r="C69" s="43">
        <v>7542.9</v>
      </c>
      <c r="D69" s="43">
        <v>515.6</v>
      </c>
      <c r="E69" s="44">
        <v>2212</v>
      </c>
      <c r="F69" s="44">
        <v>2212</v>
      </c>
      <c r="G69" s="44"/>
      <c r="H69" s="44"/>
      <c r="I69" s="37">
        <v>2212</v>
      </c>
      <c r="J69" s="38"/>
      <c r="K69" s="39">
        <v>2212</v>
      </c>
      <c r="L69" s="28">
        <f aca="true" t="shared" si="15" ref="L69:L77">I69/E69*100</f>
        <v>100</v>
      </c>
      <c r="M69" s="18"/>
      <c r="N69" s="34">
        <f>1390.1-573.1</f>
        <v>816.9999999999999</v>
      </c>
      <c r="O69" s="35">
        <f t="shared" si="13"/>
        <v>-816.9999999999999</v>
      </c>
      <c r="P69" s="34"/>
      <c r="Q69" s="34"/>
      <c r="R69" s="35"/>
      <c r="S69" s="29">
        <f t="shared" si="14"/>
        <v>100</v>
      </c>
      <c r="T69" s="10"/>
      <c r="U69" s="36"/>
      <c r="V69" s="26"/>
      <c r="W69" s="9"/>
      <c r="AB69" s="2"/>
    </row>
    <row r="70" spans="1:28" ht="66">
      <c r="A70" s="43" t="s">
        <v>67</v>
      </c>
      <c r="B70" s="20">
        <v>11461.1</v>
      </c>
      <c r="C70" s="43">
        <v>14570.9</v>
      </c>
      <c r="D70" s="43">
        <v>13716.2</v>
      </c>
      <c r="E70" s="44">
        <v>20798.7</v>
      </c>
      <c r="F70" s="44">
        <v>20692.7</v>
      </c>
      <c r="G70" s="44"/>
      <c r="H70" s="44"/>
      <c r="I70" s="37">
        <v>20748.7</v>
      </c>
      <c r="J70" s="38"/>
      <c r="K70" s="39">
        <v>20692.7</v>
      </c>
      <c r="L70" s="28">
        <f t="shared" si="15"/>
        <v>99.75960035963786</v>
      </c>
      <c r="M70" s="18"/>
      <c r="N70" s="61">
        <v>12751.4</v>
      </c>
      <c r="O70" s="35">
        <f t="shared" si="13"/>
        <v>-12751.4</v>
      </c>
      <c r="P70" s="34"/>
      <c r="Q70" s="34">
        <v>13</v>
      </c>
      <c r="R70" s="35"/>
      <c r="S70" s="29">
        <f t="shared" si="14"/>
        <v>100</v>
      </c>
      <c r="T70" s="10"/>
      <c r="U70" s="36"/>
      <c r="V70" s="26"/>
      <c r="W70" s="9"/>
      <c r="AB70" s="2"/>
    </row>
    <row r="71" spans="1:28" ht="66">
      <c r="A71" s="26" t="s">
        <v>14</v>
      </c>
      <c r="B71" s="26">
        <f aca="true" t="shared" si="16" ref="B71:J71">B72</f>
        <v>23372.8</v>
      </c>
      <c r="C71" s="26">
        <f t="shared" si="16"/>
        <v>23220.2</v>
      </c>
      <c r="D71" s="26">
        <f t="shared" si="16"/>
        <v>20037.7</v>
      </c>
      <c r="E71" s="27">
        <f>E72</f>
        <v>29423</v>
      </c>
      <c r="F71" s="27">
        <f>F72</f>
        <v>26193.4</v>
      </c>
      <c r="G71" s="27">
        <f t="shared" si="16"/>
        <v>0</v>
      </c>
      <c r="H71" s="27">
        <f t="shared" si="16"/>
        <v>0</v>
      </c>
      <c r="I71" s="27">
        <f>I72</f>
        <v>29423</v>
      </c>
      <c r="J71" s="27">
        <f t="shared" si="16"/>
        <v>0</v>
      </c>
      <c r="K71" s="62">
        <f>K72</f>
        <v>26193.4</v>
      </c>
      <c r="L71" s="28">
        <f t="shared" si="15"/>
        <v>100</v>
      </c>
      <c r="M71" s="18"/>
      <c r="N71" s="29">
        <f>N72</f>
        <v>19899.4</v>
      </c>
      <c r="O71" s="35">
        <f t="shared" si="13"/>
        <v>-19899.4</v>
      </c>
      <c r="P71" s="26">
        <f>P72</f>
        <v>348.1</v>
      </c>
      <c r="Q71" s="26">
        <f>Q72</f>
        <v>948.6</v>
      </c>
      <c r="R71" s="29">
        <v>1413</v>
      </c>
      <c r="S71" s="29">
        <f>K71/F71*100</f>
        <v>100</v>
      </c>
      <c r="T71" s="17"/>
      <c r="U71" s="26"/>
      <c r="V71" s="26"/>
      <c r="W71" s="4"/>
      <c r="AB71" s="2"/>
    </row>
    <row r="72" spans="1:28" ht="66">
      <c r="A72" s="43" t="s">
        <v>15</v>
      </c>
      <c r="B72" s="20">
        <v>23372.8</v>
      </c>
      <c r="C72" s="43">
        <v>23220.2</v>
      </c>
      <c r="D72" s="43">
        <v>20037.7</v>
      </c>
      <c r="E72" s="44">
        <v>29423</v>
      </c>
      <c r="F72" s="44">
        <v>26193.4</v>
      </c>
      <c r="G72" s="44"/>
      <c r="H72" s="44"/>
      <c r="I72" s="37">
        <v>29423</v>
      </c>
      <c r="J72" s="38"/>
      <c r="K72" s="39">
        <v>26193.4</v>
      </c>
      <c r="L72" s="28">
        <f t="shared" si="15"/>
        <v>100</v>
      </c>
      <c r="M72" s="18"/>
      <c r="N72" s="34">
        <v>19899.4</v>
      </c>
      <c r="O72" s="35">
        <f t="shared" si="13"/>
        <v>-19899.4</v>
      </c>
      <c r="P72" s="34">
        <v>348.1</v>
      </c>
      <c r="Q72" s="34">
        <v>948.6</v>
      </c>
      <c r="R72" s="35">
        <f>1413</f>
        <v>1413</v>
      </c>
      <c r="S72" s="29">
        <f>K72/F72*100</f>
        <v>100</v>
      </c>
      <c r="T72" s="10"/>
      <c r="U72" s="36"/>
      <c r="V72" s="26"/>
      <c r="W72" s="9"/>
      <c r="AB72" s="2"/>
    </row>
    <row r="73" spans="1:28" ht="33">
      <c r="A73" s="26" t="s">
        <v>31</v>
      </c>
      <c r="B73" s="20"/>
      <c r="C73" s="45" t="e">
        <f>C74+#REF!</f>
        <v>#REF!</v>
      </c>
      <c r="D73" s="45" t="e">
        <f>D74+#REF!</f>
        <v>#REF!</v>
      </c>
      <c r="E73" s="27">
        <f>E74+E75</f>
        <v>337.7</v>
      </c>
      <c r="F73" s="27">
        <f aca="true" t="shared" si="17" ref="F73:K73">F74+F75</f>
        <v>52</v>
      </c>
      <c r="G73" s="27">
        <f t="shared" si="17"/>
        <v>0</v>
      </c>
      <c r="H73" s="27">
        <f t="shared" si="17"/>
        <v>0</v>
      </c>
      <c r="I73" s="27">
        <f t="shared" si="17"/>
        <v>337.7</v>
      </c>
      <c r="J73" s="27">
        <f t="shared" si="17"/>
        <v>0</v>
      </c>
      <c r="K73" s="27">
        <f t="shared" si="17"/>
        <v>52</v>
      </c>
      <c r="L73" s="28">
        <f t="shared" si="15"/>
        <v>100</v>
      </c>
      <c r="M73" s="18"/>
      <c r="N73" s="35"/>
      <c r="O73" s="35"/>
      <c r="P73" s="34"/>
      <c r="Q73" s="26" t="e">
        <f>Q74+#REF!</f>
        <v>#REF!</v>
      </c>
      <c r="R73" s="29" t="e">
        <f>#REF!</f>
        <v>#REF!</v>
      </c>
      <c r="S73" s="29">
        <f>K73/F73*100</f>
        <v>100</v>
      </c>
      <c r="T73" s="17"/>
      <c r="U73" s="59"/>
      <c r="V73" s="26"/>
      <c r="W73" s="16"/>
      <c r="AB73" s="2"/>
    </row>
    <row r="74" spans="1:28" ht="99">
      <c r="A74" s="63" t="s">
        <v>57</v>
      </c>
      <c r="B74" s="20"/>
      <c r="C74" s="43">
        <v>809.5</v>
      </c>
      <c r="D74" s="43">
        <v>0</v>
      </c>
      <c r="E74" s="44">
        <v>285.7</v>
      </c>
      <c r="F74" s="44">
        <v>0</v>
      </c>
      <c r="G74" s="44"/>
      <c r="H74" s="44"/>
      <c r="I74" s="37">
        <v>285.7</v>
      </c>
      <c r="J74" s="38"/>
      <c r="K74" s="39">
        <v>0</v>
      </c>
      <c r="L74" s="28">
        <f t="shared" si="15"/>
        <v>100</v>
      </c>
      <c r="M74" s="18"/>
      <c r="N74" s="35"/>
      <c r="O74" s="35"/>
      <c r="P74" s="34"/>
      <c r="Q74" s="34">
        <v>196.8</v>
      </c>
      <c r="R74" s="35"/>
      <c r="S74" s="29">
        <v>0</v>
      </c>
      <c r="T74" s="10"/>
      <c r="U74" s="36"/>
      <c r="V74" s="26"/>
      <c r="W74" s="9"/>
      <c r="AB74" s="2"/>
    </row>
    <row r="75" spans="1:28" ht="33">
      <c r="A75" s="63" t="s">
        <v>61</v>
      </c>
      <c r="B75" s="20"/>
      <c r="C75" s="43"/>
      <c r="D75" s="43"/>
      <c r="E75" s="44">
        <v>52</v>
      </c>
      <c r="F75" s="44">
        <v>52</v>
      </c>
      <c r="G75" s="44"/>
      <c r="H75" s="44"/>
      <c r="I75" s="37">
        <v>52</v>
      </c>
      <c r="J75" s="38"/>
      <c r="K75" s="39">
        <v>52</v>
      </c>
      <c r="L75" s="28">
        <f t="shared" si="15"/>
        <v>100</v>
      </c>
      <c r="M75" s="18"/>
      <c r="N75" s="35"/>
      <c r="O75" s="35"/>
      <c r="P75" s="34"/>
      <c r="Q75" s="34"/>
      <c r="R75" s="35"/>
      <c r="S75" s="29">
        <f>K75/F75*100</f>
        <v>100</v>
      </c>
      <c r="T75" s="10"/>
      <c r="U75" s="36"/>
      <c r="V75" s="26"/>
      <c r="W75" s="9"/>
      <c r="AB75" s="2"/>
    </row>
    <row r="76" spans="1:28" ht="33">
      <c r="A76" s="26" t="s">
        <v>16</v>
      </c>
      <c r="B76" s="26">
        <f aca="true" t="shared" si="18" ref="B76:K76">B77+B78+B79+B85+B86</f>
        <v>160425.1</v>
      </c>
      <c r="C76" s="26">
        <f t="shared" si="18"/>
        <v>212858.40000000002</v>
      </c>
      <c r="D76" s="26">
        <f t="shared" si="18"/>
        <v>10150.4</v>
      </c>
      <c r="E76" s="27">
        <f t="shared" si="18"/>
        <v>54450.700000000004</v>
      </c>
      <c r="F76" s="27">
        <f t="shared" si="18"/>
        <v>8779.599999999999</v>
      </c>
      <c r="G76" s="27">
        <f t="shared" si="18"/>
        <v>0</v>
      </c>
      <c r="H76" s="27">
        <f t="shared" si="18"/>
        <v>0</v>
      </c>
      <c r="I76" s="27">
        <f t="shared" si="18"/>
        <v>54441.299999999996</v>
      </c>
      <c r="J76" s="27">
        <f t="shared" si="18"/>
        <v>0</v>
      </c>
      <c r="K76" s="62">
        <f t="shared" si="18"/>
        <v>8770.3</v>
      </c>
      <c r="L76" s="28">
        <f t="shared" si="15"/>
        <v>99.98273667739807</v>
      </c>
      <c r="M76" s="18"/>
      <c r="N76" s="29">
        <f>N77+N78+N79+N85+N86</f>
        <v>7347.799999999999</v>
      </c>
      <c r="O76" s="29">
        <f>O77+O78+O79+O85+O86</f>
        <v>-7347.799999999999</v>
      </c>
      <c r="P76" s="34"/>
      <c r="Q76" s="26" t="e">
        <f>Q77+Q78+Q79+Q85+Q86</f>
        <v>#REF!</v>
      </c>
      <c r="R76" s="29"/>
      <c r="S76" s="73">
        <f>K76/F76*100</f>
        <v>99.89407262289855</v>
      </c>
      <c r="T76" s="6"/>
      <c r="U76" s="27"/>
      <c r="V76" s="26"/>
      <c r="W76" s="5">
        <f>W77+W78+W79+W85+W86</f>
        <v>0</v>
      </c>
      <c r="AB76" s="2"/>
    </row>
    <row r="77" spans="1:28" ht="66">
      <c r="A77" s="43" t="s">
        <v>17</v>
      </c>
      <c r="B77" s="20">
        <v>4335.8</v>
      </c>
      <c r="C77" s="43">
        <v>5400</v>
      </c>
      <c r="D77" s="43">
        <v>5400</v>
      </c>
      <c r="E77" s="44">
        <v>6376.9</v>
      </c>
      <c r="F77" s="44">
        <v>6376.9</v>
      </c>
      <c r="G77" s="44"/>
      <c r="H77" s="44"/>
      <c r="I77" s="37">
        <v>6376.9</v>
      </c>
      <c r="J77" s="38"/>
      <c r="K77" s="39">
        <v>6376.9</v>
      </c>
      <c r="L77" s="28">
        <f t="shared" si="15"/>
        <v>100</v>
      </c>
      <c r="M77" s="18"/>
      <c r="N77" s="34">
        <f>4332.2+261.2+57.7</f>
        <v>4651.099999999999</v>
      </c>
      <c r="O77" s="35">
        <f aca="true" t="shared" si="19" ref="O77:O86">H77-N77</f>
        <v>-4651.099999999999</v>
      </c>
      <c r="P77" s="34"/>
      <c r="Q77" s="34"/>
      <c r="R77" s="35"/>
      <c r="S77" s="73">
        <f aca="true" t="shared" si="20" ref="S77:S86">K77/F77*100</f>
        <v>100</v>
      </c>
      <c r="T77" s="10"/>
      <c r="U77" s="36"/>
      <c r="V77" s="26"/>
      <c r="W77" s="9"/>
      <c r="AB77" s="2"/>
    </row>
    <row r="78" spans="1:28" ht="33" customHeight="1" hidden="1">
      <c r="A78" s="43"/>
      <c r="B78" s="20"/>
      <c r="C78" s="43"/>
      <c r="D78" s="43"/>
      <c r="E78" s="44"/>
      <c r="F78" s="44"/>
      <c r="G78" s="44"/>
      <c r="H78" s="44"/>
      <c r="I78" s="37"/>
      <c r="J78" s="38"/>
      <c r="K78" s="39"/>
      <c r="L78" s="28"/>
      <c r="M78" s="18"/>
      <c r="N78" s="34">
        <v>12</v>
      </c>
      <c r="O78" s="35">
        <f t="shared" si="19"/>
        <v>-12</v>
      </c>
      <c r="P78" s="34"/>
      <c r="Q78" s="34"/>
      <c r="R78" s="35"/>
      <c r="S78" s="73" t="e">
        <f t="shared" si="20"/>
        <v>#DIV/0!</v>
      </c>
      <c r="T78" s="10"/>
      <c r="U78" s="36"/>
      <c r="V78" s="26"/>
      <c r="W78" s="9"/>
      <c r="AB78" s="2"/>
    </row>
    <row r="79" spans="1:28" ht="66">
      <c r="A79" s="43" t="s">
        <v>74</v>
      </c>
      <c r="B79" s="20">
        <v>103315.7</v>
      </c>
      <c r="C79" s="43">
        <v>143895.4</v>
      </c>
      <c r="D79" s="43">
        <v>4556.9</v>
      </c>
      <c r="E79" s="44">
        <v>29699.7</v>
      </c>
      <c r="F79" s="44">
        <v>2202.7</v>
      </c>
      <c r="G79" s="44"/>
      <c r="H79" s="44"/>
      <c r="I79" s="37">
        <v>29690.3</v>
      </c>
      <c r="J79" s="38"/>
      <c r="K79" s="39">
        <v>2193.4</v>
      </c>
      <c r="L79" s="28">
        <f>I79/E79*100</f>
        <v>99.96834984865166</v>
      </c>
      <c r="M79" s="18"/>
      <c r="N79" s="35">
        <v>2684.7</v>
      </c>
      <c r="O79" s="35">
        <f t="shared" si="19"/>
        <v>-2684.7</v>
      </c>
      <c r="P79" s="34"/>
      <c r="Q79" s="34" t="e">
        <f>Q81+Q82+#REF!+Q83</f>
        <v>#REF!</v>
      </c>
      <c r="R79" s="35"/>
      <c r="S79" s="73">
        <f t="shared" si="20"/>
        <v>99.57779089299498</v>
      </c>
      <c r="T79" s="10"/>
      <c r="U79" s="36"/>
      <c r="V79" s="26"/>
      <c r="W79" s="9"/>
      <c r="AB79" s="2"/>
    </row>
    <row r="80" spans="1:28" ht="33">
      <c r="A80" s="43" t="s">
        <v>3</v>
      </c>
      <c r="B80" s="20"/>
      <c r="C80" s="43"/>
      <c r="D80" s="43"/>
      <c r="E80" s="44"/>
      <c r="F80" s="44"/>
      <c r="G80" s="44"/>
      <c r="H80" s="44"/>
      <c r="I80" s="37"/>
      <c r="J80" s="38"/>
      <c r="K80" s="39"/>
      <c r="L80" s="28"/>
      <c r="M80" s="18"/>
      <c r="N80" s="34"/>
      <c r="O80" s="35">
        <f t="shared" si="19"/>
        <v>0</v>
      </c>
      <c r="P80" s="34"/>
      <c r="Q80" s="34"/>
      <c r="R80" s="35"/>
      <c r="S80" s="73"/>
      <c r="T80" s="10"/>
      <c r="U80" s="36"/>
      <c r="V80" s="26"/>
      <c r="W80" s="9"/>
      <c r="AB80" s="2"/>
    </row>
    <row r="81" spans="1:28" ht="33">
      <c r="A81" s="64" t="s">
        <v>58</v>
      </c>
      <c r="B81" s="65">
        <v>4751.9</v>
      </c>
      <c r="C81" s="64">
        <v>4069.7</v>
      </c>
      <c r="D81" s="64">
        <v>4069.7</v>
      </c>
      <c r="E81" s="66">
        <v>2123.4</v>
      </c>
      <c r="F81" s="66">
        <v>2123.4</v>
      </c>
      <c r="G81" s="66"/>
      <c r="H81" s="66"/>
      <c r="I81" s="37">
        <v>2114.1</v>
      </c>
      <c r="J81" s="38"/>
      <c r="K81" s="39">
        <v>2114.4</v>
      </c>
      <c r="L81" s="28">
        <f>I81/E81*100</f>
        <v>99.5620231703871</v>
      </c>
      <c r="M81" s="18"/>
      <c r="N81" s="34">
        <v>5134.6</v>
      </c>
      <c r="O81" s="35">
        <f t="shared" si="19"/>
        <v>-5134.6</v>
      </c>
      <c r="P81" s="34"/>
      <c r="Q81" s="34">
        <f>138.7</f>
        <v>138.7</v>
      </c>
      <c r="R81" s="35"/>
      <c r="S81" s="73">
        <f t="shared" si="20"/>
        <v>99.57615145521333</v>
      </c>
      <c r="T81" s="10"/>
      <c r="U81" s="36"/>
      <c r="V81" s="26"/>
      <c r="W81" s="9"/>
      <c r="AB81" s="2"/>
    </row>
    <row r="82" spans="1:28" ht="99">
      <c r="A82" s="64" t="s">
        <v>59</v>
      </c>
      <c r="B82" s="65">
        <v>198.6</v>
      </c>
      <c r="C82" s="64">
        <f>935.7+171.8</f>
        <v>1107.5</v>
      </c>
      <c r="D82" s="64">
        <v>171.8</v>
      </c>
      <c r="E82" s="66">
        <v>43.2</v>
      </c>
      <c r="F82" s="66">
        <v>43.2</v>
      </c>
      <c r="G82" s="66"/>
      <c r="H82" s="66"/>
      <c r="I82" s="37">
        <v>43.2</v>
      </c>
      <c r="J82" s="38"/>
      <c r="K82" s="39">
        <v>43.2</v>
      </c>
      <c r="L82" s="28">
        <f>I82/E82*100</f>
        <v>100</v>
      </c>
      <c r="M82" s="18"/>
      <c r="N82" s="34">
        <v>198.6</v>
      </c>
      <c r="O82" s="35">
        <f t="shared" si="19"/>
        <v>-198.6</v>
      </c>
      <c r="P82" s="34"/>
      <c r="Q82" s="34"/>
      <c r="R82" s="35"/>
      <c r="S82" s="73">
        <f t="shared" si="20"/>
        <v>100</v>
      </c>
      <c r="T82" s="10"/>
      <c r="U82" s="36"/>
      <c r="V82" s="26"/>
      <c r="W82" s="9"/>
      <c r="AB82" s="2"/>
    </row>
    <row r="83" spans="1:28" ht="33" customHeight="1" hidden="1">
      <c r="A83" s="64"/>
      <c r="B83" s="65"/>
      <c r="C83" s="64"/>
      <c r="D83" s="64"/>
      <c r="E83" s="66"/>
      <c r="F83" s="66"/>
      <c r="G83" s="66"/>
      <c r="H83" s="66"/>
      <c r="I83" s="37"/>
      <c r="J83" s="38"/>
      <c r="K83" s="39"/>
      <c r="L83" s="28"/>
      <c r="M83" s="18"/>
      <c r="N83" s="34">
        <v>159.9</v>
      </c>
      <c r="O83" s="35">
        <f t="shared" si="19"/>
        <v>-159.9</v>
      </c>
      <c r="P83" s="34"/>
      <c r="Q83" s="34"/>
      <c r="R83" s="35"/>
      <c r="S83" s="73" t="e">
        <f t="shared" si="20"/>
        <v>#DIV/0!</v>
      </c>
      <c r="T83" s="10"/>
      <c r="U83" s="36"/>
      <c r="V83" s="26"/>
      <c r="W83" s="9"/>
      <c r="AB83" s="2"/>
    </row>
    <row r="84" spans="1:28" ht="33" customHeight="1" hidden="1">
      <c r="A84" s="64"/>
      <c r="B84" s="65"/>
      <c r="C84" s="64"/>
      <c r="D84" s="64"/>
      <c r="E84" s="66"/>
      <c r="F84" s="66"/>
      <c r="G84" s="66"/>
      <c r="H84" s="66"/>
      <c r="I84" s="37"/>
      <c r="J84" s="38"/>
      <c r="K84" s="39"/>
      <c r="L84" s="28"/>
      <c r="M84" s="18"/>
      <c r="N84" s="34">
        <v>80</v>
      </c>
      <c r="O84" s="35">
        <f t="shared" si="19"/>
        <v>-80</v>
      </c>
      <c r="P84" s="34"/>
      <c r="Q84" s="34"/>
      <c r="R84" s="35"/>
      <c r="S84" s="73" t="e">
        <f t="shared" si="20"/>
        <v>#DIV/0!</v>
      </c>
      <c r="T84" s="10"/>
      <c r="U84" s="36"/>
      <c r="V84" s="26"/>
      <c r="W84" s="9"/>
      <c r="AB84" s="2"/>
    </row>
    <row r="85" spans="1:28" ht="99">
      <c r="A85" s="43" t="s">
        <v>78</v>
      </c>
      <c r="B85" s="20">
        <v>43126</v>
      </c>
      <c r="C85" s="43">
        <v>51532.3</v>
      </c>
      <c r="D85" s="43">
        <v>0</v>
      </c>
      <c r="E85" s="44">
        <v>15537.2</v>
      </c>
      <c r="F85" s="44">
        <v>0</v>
      </c>
      <c r="G85" s="44"/>
      <c r="H85" s="44"/>
      <c r="I85" s="37">
        <v>15537.2</v>
      </c>
      <c r="J85" s="38"/>
      <c r="K85" s="39">
        <v>0</v>
      </c>
      <c r="L85" s="28">
        <f aca="true" t="shared" si="21" ref="L85:L91">I85/E85*100</f>
        <v>100</v>
      </c>
      <c r="M85" s="18"/>
      <c r="N85" s="34">
        <v>0</v>
      </c>
      <c r="O85" s="35">
        <f t="shared" si="19"/>
        <v>0</v>
      </c>
      <c r="P85" s="34"/>
      <c r="Q85" s="34"/>
      <c r="R85" s="35"/>
      <c r="S85" s="73">
        <v>0</v>
      </c>
      <c r="T85" s="10"/>
      <c r="U85" s="36"/>
      <c r="V85" s="26"/>
      <c r="W85" s="9"/>
      <c r="AB85" s="2"/>
    </row>
    <row r="86" spans="1:28" ht="66">
      <c r="A86" s="43" t="s">
        <v>18</v>
      </c>
      <c r="B86" s="20">
        <v>9647.6</v>
      </c>
      <c r="C86" s="43">
        <v>12030.7</v>
      </c>
      <c r="D86" s="43">
        <v>193.5</v>
      </c>
      <c r="E86" s="44">
        <v>2836.9</v>
      </c>
      <c r="F86" s="44">
        <v>200</v>
      </c>
      <c r="G86" s="44"/>
      <c r="H86" s="44"/>
      <c r="I86" s="37">
        <v>2836.9</v>
      </c>
      <c r="J86" s="38"/>
      <c r="K86" s="39">
        <v>200</v>
      </c>
      <c r="L86" s="28">
        <f t="shared" si="21"/>
        <v>100</v>
      </c>
      <c r="M86" s="18"/>
      <c r="N86" s="34">
        <v>0</v>
      </c>
      <c r="O86" s="35">
        <f t="shared" si="19"/>
        <v>0</v>
      </c>
      <c r="P86" s="34"/>
      <c r="Q86" s="34"/>
      <c r="R86" s="35"/>
      <c r="S86" s="73">
        <f t="shared" si="20"/>
        <v>100</v>
      </c>
      <c r="T86" s="10"/>
      <c r="U86" s="36"/>
      <c r="V86" s="26"/>
      <c r="W86" s="9"/>
      <c r="AB86" s="2"/>
    </row>
    <row r="87" spans="1:28" ht="33">
      <c r="A87" s="45" t="s">
        <v>60</v>
      </c>
      <c r="B87" s="26">
        <v>7752.6</v>
      </c>
      <c r="C87" s="45">
        <v>63159.7</v>
      </c>
      <c r="D87" s="45">
        <v>11119.3</v>
      </c>
      <c r="E87" s="67">
        <f>E88</f>
        <v>30369.7</v>
      </c>
      <c r="F87" s="67">
        <f aca="true" t="shared" si="22" ref="F87:K87">F88</f>
        <v>21108.7</v>
      </c>
      <c r="G87" s="67">
        <f t="shared" si="22"/>
        <v>0</v>
      </c>
      <c r="H87" s="67">
        <f t="shared" si="22"/>
        <v>0</v>
      </c>
      <c r="I87" s="67">
        <f t="shared" si="22"/>
        <v>25171</v>
      </c>
      <c r="J87" s="67">
        <f t="shared" si="22"/>
        <v>0</v>
      </c>
      <c r="K87" s="67">
        <f t="shared" si="22"/>
        <v>21108.7</v>
      </c>
      <c r="L87" s="67">
        <f t="shared" si="21"/>
        <v>82.88195141868376</v>
      </c>
      <c r="M87" s="67">
        <f aca="true" t="shared" si="23" ref="M87:R87">J87/F87*100</f>
        <v>0</v>
      </c>
      <c r="N87" s="67" t="e">
        <f t="shared" si="23"/>
        <v>#DIV/0!</v>
      </c>
      <c r="O87" s="67" t="e">
        <f t="shared" si="23"/>
        <v>#DIV/0!</v>
      </c>
      <c r="P87" s="67">
        <f t="shared" si="23"/>
        <v>0</v>
      </c>
      <c r="Q87" s="67" t="e">
        <f t="shared" si="23"/>
        <v>#DIV/0!</v>
      </c>
      <c r="R87" s="67" t="e">
        <f t="shared" si="23"/>
        <v>#DIV/0!</v>
      </c>
      <c r="S87" s="27">
        <f>K87/F87*100</f>
        <v>100</v>
      </c>
      <c r="T87" s="6"/>
      <c r="U87" s="58"/>
      <c r="V87" s="26"/>
      <c r="W87" s="4">
        <v>276.4</v>
      </c>
      <c r="AB87" s="2"/>
    </row>
    <row r="88" spans="1:28" ht="66">
      <c r="A88" s="43" t="s">
        <v>38</v>
      </c>
      <c r="B88" s="20"/>
      <c r="C88" s="43">
        <v>50000</v>
      </c>
      <c r="D88" s="43">
        <v>0</v>
      </c>
      <c r="E88" s="44">
        <v>30369.7</v>
      </c>
      <c r="F88" s="44">
        <v>21108.7</v>
      </c>
      <c r="G88" s="44"/>
      <c r="H88" s="44"/>
      <c r="I88" s="37">
        <v>25171</v>
      </c>
      <c r="J88" s="38"/>
      <c r="K88" s="39">
        <v>21108.7</v>
      </c>
      <c r="L88" s="67">
        <f t="shared" si="21"/>
        <v>82.88195141868376</v>
      </c>
      <c r="M88" s="18"/>
      <c r="N88" s="34"/>
      <c r="O88" s="35"/>
      <c r="P88" s="34"/>
      <c r="Q88" s="34"/>
      <c r="R88" s="35"/>
      <c r="S88" s="27">
        <f>K88/F88*100</f>
        <v>100</v>
      </c>
      <c r="T88" s="10"/>
      <c r="U88" s="36"/>
      <c r="V88" s="26"/>
      <c r="W88" s="9"/>
      <c r="AB88" s="2"/>
    </row>
    <row r="89" spans="1:28" ht="33">
      <c r="A89" s="45" t="s">
        <v>25</v>
      </c>
      <c r="B89" s="26">
        <v>800</v>
      </c>
      <c r="C89" s="45">
        <v>1000</v>
      </c>
      <c r="D89" s="45">
        <v>1000</v>
      </c>
      <c r="E89" s="67">
        <v>1000</v>
      </c>
      <c r="F89" s="67">
        <v>1000</v>
      </c>
      <c r="G89" s="67">
        <v>1000</v>
      </c>
      <c r="H89" s="67">
        <v>1000</v>
      </c>
      <c r="I89" s="28">
        <v>1000</v>
      </c>
      <c r="J89" s="68"/>
      <c r="K89" s="69">
        <v>1000</v>
      </c>
      <c r="L89" s="28">
        <f t="shared" si="21"/>
        <v>100</v>
      </c>
      <c r="M89" s="18"/>
      <c r="N89" s="34">
        <v>800</v>
      </c>
      <c r="O89" s="35">
        <f>H89-N89</f>
        <v>200</v>
      </c>
      <c r="P89" s="56"/>
      <c r="Q89" s="26"/>
      <c r="R89" s="29"/>
      <c r="S89" s="27">
        <f>K89/F89*100</f>
        <v>100</v>
      </c>
      <c r="T89" s="17"/>
      <c r="U89" s="59"/>
      <c r="V89" s="26"/>
      <c r="W89" s="16"/>
      <c r="AB89" s="2"/>
    </row>
    <row r="90" spans="1:28" ht="66">
      <c r="A90" s="45" t="s">
        <v>24</v>
      </c>
      <c r="B90" s="26">
        <v>1417.4</v>
      </c>
      <c r="C90" s="45">
        <v>1049.2</v>
      </c>
      <c r="D90" s="45">
        <v>1049.2</v>
      </c>
      <c r="E90" s="67">
        <v>77.3</v>
      </c>
      <c r="F90" s="67">
        <v>77.3</v>
      </c>
      <c r="G90" s="67">
        <v>1049.2</v>
      </c>
      <c r="H90" s="67">
        <v>1049.2</v>
      </c>
      <c r="I90" s="28">
        <v>77.2</v>
      </c>
      <c r="J90" s="68"/>
      <c r="K90" s="69">
        <v>77.2</v>
      </c>
      <c r="L90" s="28">
        <f t="shared" si="21"/>
        <v>99.8706338939198</v>
      </c>
      <c r="M90" s="18"/>
      <c r="N90" s="34">
        <v>1417.4</v>
      </c>
      <c r="O90" s="35">
        <f>H90-N90</f>
        <v>-368.20000000000005</v>
      </c>
      <c r="P90" s="34"/>
      <c r="Q90" s="26"/>
      <c r="R90" s="29"/>
      <c r="S90" s="27">
        <f>K90/F90*100</f>
        <v>99.8706338939198</v>
      </c>
      <c r="T90" s="72"/>
      <c r="U90" s="59"/>
      <c r="V90" s="26"/>
      <c r="W90" s="16"/>
      <c r="AB90" s="2"/>
    </row>
    <row r="91" spans="1:28" ht="231">
      <c r="A91" s="45" t="s">
        <v>42</v>
      </c>
      <c r="B91" s="26"/>
      <c r="C91" s="45"/>
      <c r="D91" s="45"/>
      <c r="E91" s="67">
        <v>42037.7</v>
      </c>
      <c r="F91" s="67">
        <v>37674.8</v>
      </c>
      <c r="G91" s="67"/>
      <c r="H91" s="67"/>
      <c r="I91" s="28">
        <v>42037.7</v>
      </c>
      <c r="J91" s="68"/>
      <c r="K91" s="69">
        <v>37674.8</v>
      </c>
      <c r="L91" s="28">
        <f t="shared" si="21"/>
        <v>100</v>
      </c>
      <c r="M91" s="18"/>
      <c r="N91" s="34"/>
      <c r="O91" s="35"/>
      <c r="P91" s="34"/>
      <c r="Q91" s="26"/>
      <c r="R91" s="29"/>
      <c r="S91" s="27">
        <f>K91/F91*100</f>
        <v>100</v>
      </c>
      <c r="T91" s="17"/>
      <c r="U91" s="59"/>
      <c r="V91" s="26"/>
      <c r="W91" s="16"/>
      <c r="AB91" s="2"/>
    </row>
    <row r="92" spans="1:28" ht="33">
      <c r="A92" s="45"/>
      <c r="B92" s="26"/>
      <c r="C92" s="45"/>
      <c r="D92" s="45"/>
      <c r="E92" s="45"/>
      <c r="F92" s="45"/>
      <c r="G92" s="45"/>
      <c r="H92" s="45"/>
      <c r="I92" s="56"/>
      <c r="J92" s="70"/>
      <c r="K92" s="57"/>
      <c r="L92" s="71"/>
      <c r="M92" s="18"/>
      <c r="N92" s="34"/>
      <c r="O92" s="35"/>
      <c r="P92" s="34"/>
      <c r="Q92" s="26"/>
      <c r="R92" s="29"/>
      <c r="S92" s="29"/>
      <c r="T92" s="17"/>
      <c r="U92" s="59"/>
      <c r="V92" s="26"/>
      <c r="W92" s="16"/>
      <c r="AB92" s="2"/>
    </row>
    <row r="93" spans="1:28" ht="33">
      <c r="A93" s="45"/>
      <c r="B93" s="26"/>
      <c r="C93" s="45"/>
      <c r="D93" s="45"/>
      <c r="E93" s="45"/>
      <c r="F93" s="45"/>
      <c r="G93" s="45"/>
      <c r="H93" s="45"/>
      <c r="I93" s="56"/>
      <c r="J93" s="70"/>
      <c r="K93" s="57"/>
      <c r="L93" s="71"/>
      <c r="M93" s="18"/>
      <c r="N93" s="34"/>
      <c r="O93" s="35"/>
      <c r="P93" s="34"/>
      <c r="Q93" s="26"/>
      <c r="R93" s="29"/>
      <c r="S93" s="29"/>
      <c r="T93" s="17"/>
      <c r="U93" s="59"/>
      <c r="V93" s="26"/>
      <c r="W93" s="16"/>
      <c r="AB93" s="2"/>
    </row>
    <row r="94" spans="1:28" ht="33">
      <c r="A94" s="59"/>
      <c r="B94" s="59"/>
      <c r="C94" s="59"/>
      <c r="D94" s="59"/>
      <c r="E94" s="59"/>
      <c r="F94" s="59"/>
      <c r="G94" s="59"/>
      <c r="H94" s="59"/>
      <c r="I94" s="34"/>
      <c r="J94" s="18"/>
      <c r="K94" s="35"/>
      <c r="L94" s="71"/>
      <c r="M94" s="18"/>
      <c r="N94" s="34"/>
      <c r="O94" s="35">
        <f>H94-N94</f>
        <v>0</v>
      </c>
      <c r="P94" s="34"/>
      <c r="Q94" s="34"/>
      <c r="R94" s="35"/>
      <c r="S94" s="35"/>
      <c r="T94" s="10"/>
      <c r="U94" s="36"/>
      <c r="V94" s="26"/>
      <c r="W94" s="9"/>
      <c r="AB94" s="2"/>
    </row>
    <row r="95" spans="1:28" ht="33">
      <c r="A95" s="56" t="s">
        <v>19</v>
      </c>
      <c r="B95" s="59" t="e">
        <f>B5+B33+B38+B49+B61+B64+B71+#REF!+B76+B87+B89+B90</f>
        <v>#REF!</v>
      </c>
      <c r="C95" s="59" t="e">
        <f>C5+C33+C38+C49+C61+C64+C71+C76+C87+C89+C90+C73</f>
        <v>#REF!</v>
      </c>
      <c r="D95" s="59" t="e">
        <f>D5+D33+D38+D49+D61+D64+D71+D76+D87+D89+D90+D73</f>
        <v>#REF!</v>
      </c>
      <c r="E95" s="58">
        <f>E90+E89+E87+E76+E71+E64+E61+E49+E38+E33+E5+E73+E91+0.9+0.2</f>
        <v>833042.8999999998</v>
      </c>
      <c r="F95" s="58">
        <f>F90+F89+F87+F76+F71+F64+F61+F49+F38+F33+F5+F73+F91+0.2</f>
        <v>332518.3</v>
      </c>
      <c r="G95" s="58">
        <f>G90+G89+G87+G76+G71+G64+G61+G49+G38+G33+G5+G73+G91</f>
        <v>2049.2</v>
      </c>
      <c r="H95" s="58">
        <f>H90+H89+H87+H76+H71+H64+H61+H49+H38+H33+H5+H73+H91</f>
        <v>2049.2</v>
      </c>
      <c r="I95" s="58">
        <f>I90+I89+I87+I76+I71+I64+I61+I49+I38+I33+I5+I73+I91</f>
        <v>766634.6999999998</v>
      </c>
      <c r="J95" s="58">
        <f>J90+J89+J87+J76+J71+J64+J61+J49+J38+J33+J5+J73+J91</f>
        <v>0</v>
      </c>
      <c r="K95" s="58">
        <f>K90+K89+K87+K76+K71+K64+K61+K49+K38+K33+K5+K73+K91+0.2</f>
        <v>332466.4</v>
      </c>
      <c r="L95" s="28">
        <f>I95/E95*100</f>
        <v>92.02823768139672</v>
      </c>
      <c r="M95" s="28">
        <f aca="true" t="shared" si="24" ref="M95:R95">J95/F95*100</f>
        <v>0</v>
      </c>
      <c r="N95" s="28">
        <f t="shared" si="24"/>
        <v>16224.204567636152</v>
      </c>
      <c r="O95" s="28">
        <f t="shared" si="24"/>
        <v>4.490934885877255</v>
      </c>
      <c r="P95" s="28">
        <f t="shared" si="24"/>
        <v>0</v>
      </c>
      <c r="Q95" s="28" t="e">
        <f t="shared" si="24"/>
        <v>#DIV/0!</v>
      </c>
      <c r="R95" s="28">
        <f t="shared" si="24"/>
        <v>0.0013507936097835013</v>
      </c>
      <c r="S95" s="28">
        <f>K95/F95*100</f>
        <v>99.98439183647939</v>
      </c>
      <c r="T95" s="6"/>
      <c r="U95" s="58"/>
      <c r="V95" s="26"/>
      <c r="W95" s="15">
        <f>W90+W89+W87+W76+W71+W64+W61+W49+W38+W33+W5+W73+W91</f>
        <v>3632.6</v>
      </c>
      <c r="AB95" s="2"/>
    </row>
    <row r="97" spans="1:20" ht="18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</row>
    <row r="98" spans="1:12" ht="18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</row>
    <row r="99" spans="1:12" ht="18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</row>
  </sheetData>
  <sheetProtection/>
  <mergeCells count="21">
    <mergeCell ref="L2:L4"/>
    <mergeCell ref="A97:T97"/>
    <mergeCell ref="A1:W1"/>
    <mergeCell ref="N2:N4"/>
    <mergeCell ref="O2:O4"/>
    <mergeCell ref="P2:P4"/>
    <mergeCell ref="I2:K3"/>
    <mergeCell ref="U2:U4"/>
    <mergeCell ref="T2:T4"/>
    <mergeCell ref="W2:W4"/>
    <mergeCell ref="E2:H3"/>
    <mergeCell ref="S2:S4"/>
    <mergeCell ref="AB2:AB4"/>
    <mergeCell ref="A2:A4"/>
    <mergeCell ref="C2:D3"/>
    <mergeCell ref="B2:B4"/>
    <mergeCell ref="A99:L99"/>
    <mergeCell ref="T56:T58"/>
    <mergeCell ref="Q2:Q4"/>
    <mergeCell ref="R2:R4"/>
    <mergeCell ref="A98:L98"/>
  </mergeCells>
  <printOptions/>
  <pageMargins left="0.7874015748031497" right="0.3937007874015748" top="0.984251968503937" bottom="0.5905511811023623" header="0.984251968503937" footer="0.31496062992125984"/>
  <pageSetup fitToHeight="2"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buh4</cp:lastModifiedBy>
  <cp:lastPrinted>2017-03-10T06:10:30Z</cp:lastPrinted>
  <dcterms:created xsi:type="dcterms:W3CDTF">1996-10-08T23:32:33Z</dcterms:created>
  <dcterms:modified xsi:type="dcterms:W3CDTF">2017-06-08T10:43:14Z</dcterms:modified>
  <cp:category/>
  <cp:version/>
  <cp:contentType/>
  <cp:contentStatus/>
</cp:coreProperties>
</file>